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7A8F2C58-5333-4F61-A343-D1D40B67A720}" xr6:coauthVersionLast="47" xr6:coauthVersionMax="47" xr10:uidLastSave="{00000000-0000-0000-0000-000000000000}"/>
  <bookViews>
    <workbookView xWindow="-120" yWindow="-120" windowWidth="20730" windowHeight="11160" tabRatio="781" firstSheet="15" activeTab="18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  <sheet name="Ene-25" sheetId="102" r:id="rId13"/>
    <sheet name="Feb-25" sheetId="103" r:id="rId14"/>
    <sheet name="Mar-25" sheetId="104" r:id="rId15"/>
    <sheet name="Abr-25" sheetId="105" r:id="rId16"/>
    <sheet name="May-25" sheetId="106" r:id="rId17"/>
    <sheet name="Jun-25" sheetId="107" r:id="rId18"/>
    <sheet name="Jul-25" sheetId="108" r:id="rId19"/>
    <sheet name="Ago-25" sheetId="109" r:id="rId20"/>
    <sheet name="Sep-25" sheetId="110" r:id="rId21"/>
    <sheet name="Oct-25" sheetId="111" r:id="rId22"/>
    <sheet name="Nov-25" sheetId="112" r:id="rId23"/>
    <sheet name="Dic-25" sheetId="11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108" l="1"/>
  <c r="C184" i="108"/>
  <c r="C183" i="108"/>
  <c r="C180" i="108"/>
  <c r="C176" i="108"/>
  <c r="C172" i="108"/>
  <c r="C168" i="108"/>
  <c r="C163" i="108"/>
  <c r="C49" i="108"/>
  <c r="C41" i="108"/>
  <c r="C14" i="108"/>
  <c r="C16" i="108" s="1"/>
  <c r="C8" i="108"/>
  <c r="F184" i="108"/>
  <c r="F184" i="107"/>
  <c r="F183" i="108"/>
  <c r="F183" i="107"/>
  <c r="F103" i="108"/>
  <c r="F102" i="108"/>
  <c r="D35" i="108" l="1"/>
  <c r="D16" i="108"/>
  <c r="D8" i="108"/>
  <c r="C102" i="108" l="1"/>
  <c r="C45" i="108"/>
  <c r="G35" i="108"/>
  <c r="G188" i="113"/>
  <c r="F188" i="113"/>
  <c r="F187" i="113"/>
  <c r="G187" i="113" s="1"/>
  <c r="F184" i="113"/>
  <c r="D184" i="113"/>
  <c r="D192" i="113" s="1"/>
  <c r="C184" i="113"/>
  <c r="G184" i="113" s="1"/>
  <c r="F183" i="113"/>
  <c r="D183" i="113"/>
  <c r="D191" i="113" s="1"/>
  <c r="C183" i="113"/>
  <c r="G183" i="113" s="1"/>
  <c r="G180" i="113"/>
  <c r="G179" i="113"/>
  <c r="G176" i="113"/>
  <c r="G175" i="113"/>
  <c r="G172" i="113"/>
  <c r="G171" i="113"/>
  <c r="G168" i="113"/>
  <c r="G167" i="113"/>
  <c r="G163" i="113"/>
  <c r="G162" i="113"/>
  <c r="F159" i="113"/>
  <c r="F192" i="113" s="1"/>
  <c r="D159" i="113"/>
  <c r="G159" i="113" s="1"/>
  <c r="F158" i="113"/>
  <c r="F191" i="113" s="1"/>
  <c r="D158" i="113"/>
  <c r="G158" i="113" s="1"/>
  <c r="G155" i="113"/>
  <c r="G154" i="113"/>
  <c r="G151" i="113"/>
  <c r="G150" i="113"/>
  <c r="G147" i="113"/>
  <c r="G146" i="113"/>
  <c r="G139" i="113"/>
  <c r="G138" i="113"/>
  <c r="G134" i="113"/>
  <c r="G131" i="113"/>
  <c r="G130" i="113"/>
  <c r="G127" i="113"/>
  <c r="G125" i="113"/>
  <c r="G122" i="113"/>
  <c r="G121" i="113"/>
  <c r="G120" i="113"/>
  <c r="G118" i="113"/>
  <c r="G117" i="113"/>
  <c r="G116" i="113"/>
  <c r="G113" i="113"/>
  <c r="G112" i="113"/>
  <c r="G111" i="113"/>
  <c r="G109" i="113"/>
  <c r="G108" i="113"/>
  <c r="G107" i="113"/>
  <c r="E103" i="113"/>
  <c r="D103" i="113"/>
  <c r="C103" i="113"/>
  <c r="G103" i="113" s="1"/>
  <c r="E102" i="113"/>
  <c r="D102" i="113"/>
  <c r="G102" i="113" s="1"/>
  <c r="G101" i="113"/>
  <c r="G100" i="113"/>
  <c r="G99" i="113"/>
  <c r="G97" i="113"/>
  <c r="G96" i="113"/>
  <c r="G95" i="113"/>
  <c r="G94" i="113"/>
  <c r="G93" i="113"/>
  <c r="G91" i="113"/>
  <c r="G90" i="113"/>
  <c r="G89" i="113"/>
  <c r="G88" i="113"/>
  <c r="G87" i="113"/>
  <c r="G85" i="113"/>
  <c r="G84" i="113"/>
  <c r="G83" i="113"/>
  <c r="G82" i="113"/>
  <c r="G81" i="113"/>
  <c r="F77" i="113"/>
  <c r="E77" i="113"/>
  <c r="D77" i="113"/>
  <c r="C77" i="113"/>
  <c r="G77" i="113" s="1"/>
  <c r="F76" i="113"/>
  <c r="E76" i="113"/>
  <c r="D76" i="113"/>
  <c r="C76" i="113"/>
  <c r="G76" i="113" s="1"/>
  <c r="G75" i="113"/>
  <c r="F75" i="113"/>
  <c r="D75" i="113"/>
  <c r="F74" i="113"/>
  <c r="E74" i="113"/>
  <c r="D74" i="113"/>
  <c r="C74" i="113"/>
  <c r="G74" i="113" s="1"/>
  <c r="F73" i="113"/>
  <c r="E73" i="113"/>
  <c r="D73" i="113"/>
  <c r="C73" i="113"/>
  <c r="G73" i="113" s="1"/>
  <c r="G71" i="113"/>
  <c r="G70" i="113"/>
  <c r="G69" i="113"/>
  <c r="G68" i="113"/>
  <c r="G67" i="113"/>
  <c r="G65" i="113"/>
  <c r="G64" i="113"/>
  <c r="G61" i="113"/>
  <c r="G59" i="113"/>
  <c r="G58" i="113"/>
  <c r="G57" i="113"/>
  <c r="G56" i="113"/>
  <c r="G55" i="113"/>
  <c r="G49" i="113"/>
  <c r="G48" i="113"/>
  <c r="G45" i="113"/>
  <c r="G44" i="113"/>
  <c r="G41" i="113"/>
  <c r="G40" i="113"/>
  <c r="G35" i="113"/>
  <c r="G34" i="113"/>
  <c r="G33" i="113"/>
  <c r="G30" i="113"/>
  <c r="E27" i="113"/>
  <c r="D27" i="113"/>
  <c r="G24" i="113"/>
  <c r="F21" i="113"/>
  <c r="F27" i="113" s="1"/>
  <c r="C21" i="113"/>
  <c r="C27" i="113" s="1"/>
  <c r="G27" i="113" s="1"/>
  <c r="G19" i="113"/>
  <c r="G16" i="113"/>
  <c r="G15" i="113"/>
  <c r="G14" i="113"/>
  <c r="G13" i="113"/>
  <c r="G12" i="113"/>
  <c r="G8" i="113"/>
  <c r="D8" i="113"/>
  <c r="C8" i="113"/>
  <c r="G7" i="113"/>
  <c r="G6" i="113"/>
  <c r="F188" i="112"/>
  <c r="G188" i="112" s="1"/>
  <c r="F187" i="112"/>
  <c r="G187" i="112" s="1"/>
  <c r="F184" i="112"/>
  <c r="D184" i="112"/>
  <c r="D192" i="112" s="1"/>
  <c r="C184" i="112"/>
  <c r="G184" i="112" s="1"/>
  <c r="F183" i="112"/>
  <c r="D183" i="112"/>
  <c r="D191" i="112" s="1"/>
  <c r="C183" i="112"/>
  <c r="G183" i="112" s="1"/>
  <c r="G180" i="112"/>
  <c r="G179" i="112"/>
  <c r="G176" i="112"/>
  <c r="G175" i="112"/>
  <c r="G172" i="112"/>
  <c r="G171" i="112"/>
  <c r="G168" i="112"/>
  <c r="G167" i="112"/>
  <c r="G163" i="112"/>
  <c r="G162" i="112"/>
  <c r="F159" i="112"/>
  <c r="F192" i="112" s="1"/>
  <c r="D159" i="112"/>
  <c r="G159" i="112" s="1"/>
  <c r="F158" i="112"/>
  <c r="F191" i="112" s="1"/>
  <c r="D158" i="112"/>
  <c r="G158" i="112" s="1"/>
  <c r="G155" i="112"/>
  <c r="G154" i="112"/>
  <c r="G151" i="112"/>
  <c r="G150" i="112"/>
  <c r="G147" i="112"/>
  <c r="G146" i="112"/>
  <c r="G139" i="112"/>
  <c r="G138" i="112"/>
  <c r="G134" i="112"/>
  <c r="G131" i="112"/>
  <c r="G130" i="112"/>
  <c r="G127" i="112"/>
  <c r="G125" i="112"/>
  <c r="G122" i="112"/>
  <c r="G121" i="112"/>
  <c r="G120" i="112"/>
  <c r="G118" i="112"/>
  <c r="G117" i="112"/>
  <c r="G116" i="112"/>
  <c r="G113" i="112"/>
  <c r="G112" i="112"/>
  <c r="G111" i="112"/>
  <c r="G109" i="112"/>
  <c r="G108" i="112"/>
  <c r="G107" i="112"/>
  <c r="E103" i="112"/>
  <c r="D103" i="112"/>
  <c r="C103" i="112"/>
  <c r="G103" i="112" s="1"/>
  <c r="E102" i="112"/>
  <c r="D102" i="112"/>
  <c r="G102" i="112" s="1"/>
  <c r="G101" i="112"/>
  <c r="G100" i="112"/>
  <c r="G99" i="112"/>
  <c r="G97" i="112"/>
  <c r="G96" i="112"/>
  <c r="G95" i="112"/>
  <c r="G94" i="112"/>
  <c r="G93" i="112"/>
  <c r="G91" i="112"/>
  <c r="G90" i="112"/>
  <c r="G89" i="112"/>
  <c r="G88" i="112"/>
  <c r="G87" i="112"/>
  <c r="G85" i="112"/>
  <c r="G84" i="112"/>
  <c r="G83" i="112"/>
  <c r="G82" i="112"/>
  <c r="G81" i="112"/>
  <c r="F77" i="112"/>
  <c r="E77" i="112"/>
  <c r="D77" i="112"/>
  <c r="C77" i="112"/>
  <c r="G77" i="112" s="1"/>
  <c r="F76" i="112"/>
  <c r="E76" i="112"/>
  <c r="D76" i="112"/>
  <c r="C76" i="112"/>
  <c r="G76" i="112" s="1"/>
  <c r="F75" i="112"/>
  <c r="D75" i="112"/>
  <c r="G75" i="112" s="1"/>
  <c r="F74" i="112"/>
  <c r="E74" i="112"/>
  <c r="D74" i="112"/>
  <c r="C74" i="112"/>
  <c r="G74" i="112" s="1"/>
  <c r="F73" i="112"/>
  <c r="E73" i="112"/>
  <c r="D73" i="112"/>
  <c r="C73" i="112"/>
  <c r="G73" i="112" s="1"/>
  <c r="G71" i="112"/>
  <c r="G70" i="112"/>
  <c r="G69" i="112"/>
  <c r="G68" i="112"/>
  <c r="G67" i="112"/>
  <c r="G65" i="112"/>
  <c r="G64" i="112"/>
  <c r="G61" i="112"/>
  <c r="G59" i="112"/>
  <c r="G58" i="112"/>
  <c r="G57" i="112"/>
  <c r="G56" i="112"/>
  <c r="G55" i="112"/>
  <c r="G49" i="112"/>
  <c r="G48" i="112"/>
  <c r="G45" i="112"/>
  <c r="G44" i="112"/>
  <c r="G41" i="112"/>
  <c r="G40" i="112"/>
  <c r="G35" i="112"/>
  <c r="G34" i="112"/>
  <c r="G33" i="112"/>
  <c r="G30" i="112"/>
  <c r="E27" i="112"/>
  <c r="D27" i="112"/>
  <c r="G24" i="112"/>
  <c r="F21" i="112"/>
  <c r="F27" i="112" s="1"/>
  <c r="C21" i="112"/>
  <c r="C27" i="112" s="1"/>
  <c r="G27" i="112" s="1"/>
  <c r="G19" i="112"/>
  <c r="G16" i="112"/>
  <c r="G15" i="112"/>
  <c r="G14" i="112"/>
  <c r="G13" i="112"/>
  <c r="G12" i="112"/>
  <c r="G8" i="112"/>
  <c r="D8" i="112"/>
  <c r="C8" i="112"/>
  <c r="G7" i="112"/>
  <c r="G6" i="112"/>
  <c r="F188" i="111"/>
  <c r="G188" i="111" s="1"/>
  <c r="F187" i="111"/>
  <c r="G187" i="111" s="1"/>
  <c r="F184" i="111"/>
  <c r="D184" i="111"/>
  <c r="D192" i="111" s="1"/>
  <c r="C184" i="111"/>
  <c r="G184" i="111" s="1"/>
  <c r="F183" i="111"/>
  <c r="D183" i="111"/>
  <c r="D191" i="111" s="1"/>
  <c r="C183" i="111"/>
  <c r="G183" i="111" s="1"/>
  <c r="G180" i="111"/>
  <c r="G179" i="111"/>
  <c r="G176" i="111"/>
  <c r="G175" i="111"/>
  <c r="G172" i="111"/>
  <c r="G171" i="111"/>
  <c r="G168" i="111"/>
  <c r="G167" i="111"/>
  <c r="G163" i="111"/>
  <c r="G162" i="111"/>
  <c r="F159" i="111"/>
  <c r="F192" i="111" s="1"/>
  <c r="D159" i="111"/>
  <c r="G159" i="111" s="1"/>
  <c r="F158" i="111"/>
  <c r="F191" i="111" s="1"/>
  <c r="D158" i="111"/>
  <c r="G158" i="111" s="1"/>
  <c r="G155" i="111"/>
  <c r="G154" i="111"/>
  <c r="G151" i="111"/>
  <c r="G150" i="111"/>
  <c r="G147" i="111"/>
  <c r="G146" i="111"/>
  <c r="G139" i="111"/>
  <c r="G138" i="111"/>
  <c r="G134" i="111"/>
  <c r="G131" i="111"/>
  <c r="G130" i="111"/>
  <c r="G127" i="111"/>
  <c r="G125" i="111"/>
  <c r="G122" i="111"/>
  <c r="G121" i="111"/>
  <c r="G120" i="111"/>
  <c r="G118" i="111"/>
  <c r="G117" i="111"/>
  <c r="G116" i="111"/>
  <c r="G113" i="111"/>
  <c r="G112" i="111"/>
  <c r="G111" i="111"/>
  <c r="G109" i="111"/>
  <c r="G108" i="111"/>
  <c r="G107" i="111"/>
  <c r="E103" i="111"/>
  <c r="D103" i="111"/>
  <c r="C103" i="111"/>
  <c r="G103" i="111" s="1"/>
  <c r="E102" i="111"/>
  <c r="D102" i="111"/>
  <c r="G102" i="111" s="1"/>
  <c r="G101" i="111"/>
  <c r="G100" i="111"/>
  <c r="G99" i="111"/>
  <c r="G97" i="111"/>
  <c r="G96" i="111"/>
  <c r="G95" i="111"/>
  <c r="G94" i="111"/>
  <c r="G93" i="111"/>
  <c r="G91" i="111"/>
  <c r="G90" i="111"/>
  <c r="G89" i="111"/>
  <c r="G88" i="111"/>
  <c r="G87" i="111"/>
  <c r="G85" i="111"/>
  <c r="G84" i="111"/>
  <c r="G83" i="111"/>
  <c r="G82" i="111"/>
  <c r="G81" i="111"/>
  <c r="F77" i="111"/>
  <c r="E77" i="111"/>
  <c r="D77" i="111"/>
  <c r="C77" i="111"/>
  <c r="G77" i="111" s="1"/>
  <c r="F76" i="111"/>
  <c r="E76" i="111"/>
  <c r="D76" i="111"/>
  <c r="C76" i="111"/>
  <c r="G76" i="111" s="1"/>
  <c r="F75" i="111"/>
  <c r="D75" i="111"/>
  <c r="G75" i="111" s="1"/>
  <c r="F74" i="111"/>
  <c r="E74" i="111"/>
  <c r="D74" i="111"/>
  <c r="C74" i="111"/>
  <c r="G74" i="111" s="1"/>
  <c r="F73" i="111"/>
  <c r="E73" i="111"/>
  <c r="D73" i="111"/>
  <c r="C73" i="111"/>
  <c r="G73" i="111" s="1"/>
  <c r="G71" i="111"/>
  <c r="G70" i="111"/>
  <c r="G69" i="111"/>
  <c r="G68" i="111"/>
  <c r="G67" i="111"/>
  <c r="G65" i="111"/>
  <c r="G64" i="111"/>
  <c r="G61" i="111"/>
  <c r="G59" i="111"/>
  <c r="G58" i="111"/>
  <c r="G57" i="111"/>
  <c r="G56" i="111"/>
  <c r="G55" i="111"/>
  <c r="G49" i="111"/>
  <c r="G48" i="111"/>
  <c r="G45" i="111"/>
  <c r="G44" i="111"/>
  <c r="G41" i="111"/>
  <c r="G40" i="111"/>
  <c r="G35" i="111"/>
  <c r="G34" i="111"/>
  <c r="G33" i="111"/>
  <c r="G30" i="111"/>
  <c r="E27" i="111"/>
  <c r="D27" i="111"/>
  <c r="G24" i="111"/>
  <c r="F21" i="111"/>
  <c r="F27" i="111" s="1"/>
  <c r="C21" i="111"/>
  <c r="C27" i="111" s="1"/>
  <c r="G27" i="111" s="1"/>
  <c r="G19" i="111"/>
  <c r="G16" i="111"/>
  <c r="G15" i="111"/>
  <c r="G14" i="111"/>
  <c r="G13" i="111"/>
  <c r="G12" i="111"/>
  <c r="G8" i="111"/>
  <c r="D8" i="111"/>
  <c r="C8" i="111"/>
  <c r="G7" i="111"/>
  <c r="G6" i="111"/>
  <c r="F188" i="110"/>
  <c r="G188" i="110" s="1"/>
  <c r="F187" i="110"/>
  <c r="G187" i="110" s="1"/>
  <c r="F184" i="110"/>
  <c r="D184" i="110"/>
  <c r="D192" i="110" s="1"/>
  <c r="C184" i="110"/>
  <c r="G184" i="110" s="1"/>
  <c r="F183" i="110"/>
  <c r="D183" i="110"/>
  <c r="D191" i="110" s="1"/>
  <c r="C183" i="110"/>
  <c r="G183" i="110" s="1"/>
  <c r="G180" i="110"/>
  <c r="G179" i="110"/>
  <c r="G176" i="110"/>
  <c r="G175" i="110"/>
  <c r="G172" i="110"/>
  <c r="G171" i="110"/>
  <c r="G168" i="110"/>
  <c r="G167" i="110"/>
  <c r="G163" i="110"/>
  <c r="G162" i="110"/>
  <c r="F159" i="110"/>
  <c r="F192" i="110" s="1"/>
  <c r="D159" i="110"/>
  <c r="F158" i="110"/>
  <c r="F191" i="110" s="1"/>
  <c r="D158" i="110"/>
  <c r="G158" i="110" s="1"/>
  <c r="G155" i="110"/>
  <c r="G154" i="110"/>
  <c r="G151" i="110"/>
  <c r="G150" i="110"/>
  <c r="G147" i="110"/>
  <c r="G146" i="110"/>
  <c r="G139" i="110"/>
  <c r="G138" i="110"/>
  <c r="G134" i="110"/>
  <c r="G131" i="110"/>
  <c r="G130" i="110"/>
  <c r="G127" i="110"/>
  <c r="G125" i="110"/>
  <c r="G122" i="110"/>
  <c r="G121" i="110"/>
  <c r="G120" i="110"/>
  <c r="G118" i="110"/>
  <c r="G117" i="110"/>
  <c r="G116" i="110"/>
  <c r="G113" i="110"/>
  <c r="G112" i="110"/>
  <c r="G111" i="110"/>
  <c r="G109" i="110"/>
  <c r="G108" i="110"/>
  <c r="G107" i="110"/>
  <c r="E103" i="110"/>
  <c r="D103" i="110"/>
  <c r="C103" i="110"/>
  <c r="G103" i="110" s="1"/>
  <c r="E102" i="110"/>
  <c r="D102" i="110"/>
  <c r="G102" i="110" s="1"/>
  <c r="G101" i="110"/>
  <c r="G100" i="110"/>
  <c r="G99" i="110"/>
  <c r="G97" i="110"/>
  <c r="G96" i="110"/>
  <c r="G95" i="110"/>
  <c r="G94" i="110"/>
  <c r="G93" i="110"/>
  <c r="G91" i="110"/>
  <c r="G90" i="110"/>
  <c r="G89" i="110"/>
  <c r="G88" i="110"/>
  <c r="G87" i="110"/>
  <c r="G85" i="110"/>
  <c r="G84" i="110"/>
  <c r="G83" i="110"/>
  <c r="G82" i="110"/>
  <c r="G81" i="110"/>
  <c r="F77" i="110"/>
  <c r="E77" i="110"/>
  <c r="D77" i="110"/>
  <c r="C77" i="110"/>
  <c r="G77" i="110" s="1"/>
  <c r="F76" i="110"/>
  <c r="E76" i="110"/>
  <c r="D76" i="110"/>
  <c r="C76" i="110"/>
  <c r="G76" i="110" s="1"/>
  <c r="F75" i="110"/>
  <c r="D75" i="110"/>
  <c r="G75" i="110" s="1"/>
  <c r="F74" i="110"/>
  <c r="E74" i="110"/>
  <c r="D74" i="110"/>
  <c r="C74" i="110"/>
  <c r="G74" i="110" s="1"/>
  <c r="F73" i="110"/>
  <c r="E73" i="110"/>
  <c r="D73" i="110"/>
  <c r="C73" i="110"/>
  <c r="G73" i="110" s="1"/>
  <c r="G71" i="110"/>
  <c r="G70" i="110"/>
  <c r="G69" i="110"/>
  <c r="G68" i="110"/>
  <c r="G67" i="110"/>
  <c r="G65" i="110"/>
  <c r="G64" i="110"/>
  <c r="G61" i="110"/>
  <c r="G59" i="110"/>
  <c r="G58" i="110"/>
  <c r="G57" i="110"/>
  <c r="G56" i="110"/>
  <c r="G55" i="110"/>
  <c r="G49" i="110"/>
  <c r="G48" i="110"/>
  <c r="G45" i="110"/>
  <c r="G44" i="110"/>
  <c r="G41" i="110"/>
  <c r="G40" i="110"/>
  <c r="G35" i="110"/>
  <c r="G34" i="110"/>
  <c r="G33" i="110"/>
  <c r="G30" i="110"/>
  <c r="E27" i="110"/>
  <c r="D27" i="110"/>
  <c r="G24" i="110"/>
  <c r="F21" i="110"/>
  <c r="F27" i="110" s="1"/>
  <c r="C21" i="110"/>
  <c r="C27" i="110" s="1"/>
  <c r="G27" i="110" s="1"/>
  <c r="G19" i="110"/>
  <c r="G16" i="110"/>
  <c r="G15" i="110"/>
  <c r="G14" i="110"/>
  <c r="G13" i="110"/>
  <c r="G12" i="110"/>
  <c r="G8" i="110"/>
  <c r="D8" i="110"/>
  <c r="C8" i="110"/>
  <c r="G7" i="110"/>
  <c r="G6" i="110"/>
  <c r="F188" i="109"/>
  <c r="G188" i="109" s="1"/>
  <c r="F187" i="109"/>
  <c r="G187" i="109" s="1"/>
  <c r="F184" i="109"/>
  <c r="D184" i="109"/>
  <c r="D192" i="109" s="1"/>
  <c r="C184" i="109"/>
  <c r="G184" i="109" s="1"/>
  <c r="F183" i="109"/>
  <c r="D183" i="109"/>
  <c r="D191" i="109" s="1"/>
  <c r="C183" i="109"/>
  <c r="G183" i="109" s="1"/>
  <c r="G180" i="109"/>
  <c r="G179" i="109"/>
  <c r="G176" i="109"/>
  <c r="G175" i="109"/>
  <c r="G172" i="109"/>
  <c r="G171" i="109"/>
  <c r="G168" i="109"/>
  <c r="G167" i="109"/>
  <c r="G163" i="109"/>
  <c r="G162" i="109"/>
  <c r="F159" i="109"/>
  <c r="F192" i="109" s="1"/>
  <c r="D159" i="109"/>
  <c r="F158" i="109"/>
  <c r="F191" i="109" s="1"/>
  <c r="D158" i="109"/>
  <c r="G158" i="109" s="1"/>
  <c r="G155" i="109"/>
  <c r="G154" i="109"/>
  <c r="G151" i="109"/>
  <c r="G150" i="109"/>
  <c r="G147" i="109"/>
  <c r="G146" i="109"/>
  <c r="G139" i="109"/>
  <c r="G138" i="109"/>
  <c r="G134" i="109"/>
  <c r="G131" i="109"/>
  <c r="G130" i="109"/>
  <c r="G127" i="109"/>
  <c r="G125" i="109"/>
  <c r="G122" i="109"/>
  <c r="G121" i="109"/>
  <c r="G120" i="109"/>
  <c r="G118" i="109"/>
  <c r="G117" i="109"/>
  <c r="G116" i="109"/>
  <c r="G113" i="109"/>
  <c r="G112" i="109"/>
  <c r="G111" i="109"/>
  <c r="G109" i="109"/>
  <c r="G108" i="109"/>
  <c r="G107" i="109"/>
  <c r="E103" i="109"/>
  <c r="D103" i="109"/>
  <c r="G103" i="109" s="1"/>
  <c r="C103" i="109"/>
  <c r="E102" i="109"/>
  <c r="D102" i="109"/>
  <c r="G102" i="109" s="1"/>
  <c r="G101" i="109"/>
  <c r="G100" i="109"/>
  <c r="G99" i="109"/>
  <c r="G97" i="109"/>
  <c r="G96" i="109"/>
  <c r="G95" i="109"/>
  <c r="G94" i="109"/>
  <c r="G93" i="109"/>
  <c r="G91" i="109"/>
  <c r="G90" i="109"/>
  <c r="G89" i="109"/>
  <c r="G88" i="109"/>
  <c r="G87" i="109"/>
  <c r="G85" i="109"/>
  <c r="G84" i="109"/>
  <c r="G83" i="109"/>
  <c r="G82" i="109"/>
  <c r="G81" i="109"/>
  <c r="F77" i="109"/>
  <c r="E77" i="109"/>
  <c r="D77" i="109"/>
  <c r="C77" i="109"/>
  <c r="G77" i="109" s="1"/>
  <c r="F76" i="109"/>
  <c r="E76" i="109"/>
  <c r="D76" i="109"/>
  <c r="C76" i="109"/>
  <c r="G76" i="109" s="1"/>
  <c r="F75" i="109"/>
  <c r="D75" i="109"/>
  <c r="G75" i="109" s="1"/>
  <c r="F74" i="109"/>
  <c r="E74" i="109"/>
  <c r="D74" i="109"/>
  <c r="C74" i="109"/>
  <c r="G74" i="109" s="1"/>
  <c r="F73" i="109"/>
  <c r="E73" i="109"/>
  <c r="D73" i="109"/>
  <c r="C73" i="109"/>
  <c r="G73" i="109" s="1"/>
  <c r="G71" i="109"/>
  <c r="G70" i="109"/>
  <c r="G69" i="109"/>
  <c r="G68" i="109"/>
  <c r="G67" i="109"/>
  <c r="G65" i="109"/>
  <c r="G64" i="109"/>
  <c r="G61" i="109"/>
  <c r="G59" i="109"/>
  <c r="G58" i="109"/>
  <c r="G57" i="109"/>
  <c r="G56" i="109"/>
  <c r="G55" i="109"/>
  <c r="G49" i="109"/>
  <c r="G48" i="109"/>
  <c r="G45" i="109"/>
  <c r="G44" i="109"/>
  <c r="G41" i="109"/>
  <c r="G40" i="109"/>
  <c r="G35" i="109"/>
  <c r="G34" i="109"/>
  <c r="G33" i="109"/>
  <c r="G30" i="109"/>
  <c r="E27" i="109"/>
  <c r="D27" i="109"/>
  <c r="G24" i="109"/>
  <c r="F21" i="109"/>
  <c r="F27" i="109" s="1"/>
  <c r="C21" i="109"/>
  <c r="C27" i="109" s="1"/>
  <c r="G27" i="109" s="1"/>
  <c r="G19" i="109"/>
  <c r="G16" i="109"/>
  <c r="G15" i="109"/>
  <c r="G14" i="109"/>
  <c r="G13" i="109"/>
  <c r="G12" i="109"/>
  <c r="G8" i="109"/>
  <c r="D8" i="109"/>
  <c r="C8" i="109"/>
  <c r="G7" i="109"/>
  <c r="G6" i="109"/>
  <c r="G188" i="108"/>
  <c r="G187" i="108"/>
  <c r="D184" i="108"/>
  <c r="D183" i="108"/>
  <c r="G180" i="108"/>
  <c r="G179" i="108"/>
  <c r="G176" i="108"/>
  <c r="G175" i="108"/>
  <c r="G171" i="108"/>
  <c r="G168" i="108"/>
  <c r="G167" i="108"/>
  <c r="G163" i="108"/>
  <c r="G162" i="108"/>
  <c r="F159" i="108"/>
  <c r="D159" i="108"/>
  <c r="G159" i="108" s="1"/>
  <c r="F158" i="108"/>
  <c r="D158" i="108"/>
  <c r="G155" i="108"/>
  <c r="G154" i="108"/>
  <c r="G151" i="108"/>
  <c r="G150" i="108"/>
  <c r="G147" i="108"/>
  <c r="G146" i="108"/>
  <c r="G139" i="108"/>
  <c r="G138" i="108"/>
  <c r="G134" i="108"/>
  <c r="G131" i="108"/>
  <c r="G130" i="108"/>
  <c r="G127" i="108"/>
  <c r="G125" i="108"/>
  <c r="G122" i="108"/>
  <c r="G121" i="108"/>
  <c r="G120" i="108"/>
  <c r="G118" i="108"/>
  <c r="G117" i="108"/>
  <c r="G116" i="108"/>
  <c r="G113" i="108"/>
  <c r="G112" i="108"/>
  <c r="G111" i="108"/>
  <c r="G109" i="108"/>
  <c r="G108" i="108"/>
  <c r="G107" i="108"/>
  <c r="E103" i="108"/>
  <c r="D103" i="108"/>
  <c r="C103" i="108"/>
  <c r="E102" i="108"/>
  <c r="D102" i="108"/>
  <c r="G101" i="108"/>
  <c r="G100" i="108"/>
  <c r="G99" i="108"/>
  <c r="G97" i="108"/>
  <c r="G96" i="108"/>
  <c r="G95" i="108"/>
  <c r="G94" i="108"/>
  <c r="G93" i="108"/>
  <c r="G91" i="108"/>
  <c r="G90" i="108"/>
  <c r="G89" i="108"/>
  <c r="G88" i="108"/>
  <c r="G87" i="108"/>
  <c r="G85" i="108"/>
  <c r="G84" i="108"/>
  <c r="G83" i="108"/>
  <c r="G82" i="108"/>
  <c r="G81" i="108"/>
  <c r="F77" i="108"/>
  <c r="E77" i="108"/>
  <c r="D77" i="108"/>
  <c r="C77" i="108"/>
  <c r="F76" i="108"/>
  <c r="E76" i="108"/>
  <c r="D76" i="108"/>
  <c r="C76" i="108"/>
  <c r="F75" i="108"/>
  <c r="D75" i="108"/>
  <c r="G75" i="108" s="1"/>
  <c r="F74" i="108"/>
  <c r="E74" i="108"/>
  <c r="D74" i="108"/>
  <c r="C74" i="108"/>
  <c r="F73" i="108"/>
  <c r="E73" i="108"/>
  <c r="D73" i="108"/>
  <c r="C73" i="108"/>
  <c r="G71" i="108"/>
  <c r="G70" i="108"/>
  <c r="G69" i="108"/>
  <c r="G68" i="108"/>
  <c r="G67" i="108"/>
  <c r="G65" i="108"/>
  <c r="G64" i="108"/>
  <c r="G61" i="108"/>
  <c r="G59" i="108"/>
  <c r="G58" i="108"/>
  <c r="G57" i="108"/>
  <c r="G56" i="108"/>
  <c r="G55" i="108"/>
  <c r="G49" i="108"/>
  <c r="G48" i="108"/>
  <c r="G45" i="108"/>
  <c r="G44" i="108"/>
  <c r="G41" i="108"/>
  <c r="G40" i="108"/>
  <c r="G34" i="108"/>
  <c r="G33" i="108"/>
  <c r="G30" i="108"/>
  <c r="E27" i="108"/>
  <c r="D27" i="108"/>
  <c r="G24" i="108"/>
  <c r="F21" i="108"/>
  <c r="F27" i="108" s="1"/>
  <c r="G19" i="108"/>
  <c r="G15" i="108"/>
  <c r="G14" i="108"/>
  <c r="G13" i="108"/>
  <c r="G12" i="108"/>
  <c r="G7" i="108"/>
  <c r="G6" i="108"/>
  <c r="C183" i="107"/>
  <c r="G48" i="107"/>
  <c r="G6" i="107"/>
  <c r="F188" i="107"/>
  <c r="F187" i="107"/>
  <c r="D191" i="108" l="1"/>
  <c r="F191" i="108"/>
  <c r="G183" i="108"/>
  <c r="G76" i="108"/>
  <c r="G77" i="108"/>
  <c r="G16" i="108"/>
  <c r="G21" i="108"/>
  <c r="C192" i="113"/>
  <c r="G192" i="113" s="1"/>
  <c r="G21" i="113"/>
  <c r="C191" i="113"/>
  <c r="G191" i="113" s="1"/>
  <c r="C191" i="112"/>
  <c r="G191" i="112" s="1"/>
  <c r="G21" i="112"/>
  <c r="C192" i="112"/>
  <c r="G192" i="112" s="1"/>
  <c r="C191" i="111"/>
  <c r="G191" i="111" s="1"/>
  <c r="G21" i="111"/>
  <c r="C192" i="111"/>
  <c r="G192" i="111" s="1"/>
  <c r="C192" i="110"/>
  <c r="G192" i="110" s="1"/>
  <c r="G21" i="110"/>
  <c r="G159" i="110"/>
  <c r="C191" i="110"/>
  <c r="G191" i="110" s="1"/>
  <c r="C192" i="109"/>
  <c r="G192" i="109" s="1"/>
  <c r="G21" i="109"/>
  <c r="G159" i="109"/>
  <c r="C191" i="109"/>
  <c r="G191" i="109" s="1"/>
  <c r="G184" i="108"/>
  <c r="F192" i="108"/>
  <c r="D192" i="108"/>
  <c r="G103" i="108"/>
  <c r="G102" i="108"/>
  <c r="G73" i="108"/>
  <c r="G74" i="108"/>
  <c r="G8" i="108"/>
  <c r="C192" i="108"/>
  <c r="G158" i="108"/>
  <c r="G172" i="108"/>
  <c r="C191" i="108"/>
  <c r="D75" i="107"/>
  <c r="D35" i="107"/>
  <c r="D8" i="107"/>
  <c r="G191" i="108" l="1"/>
  <c r="C27" i="108"/>
  <c r="G27" i="108" s="1"/>
  <c r="G192" i="108"/>
  <c r="C188" i="107"/>
  <c r="C180" i="107"/>
  <c r="C176" i="107"/>
  <c r="C172" i="107"/>
  <c r="C168" i="107"/>
  <c r="C163" i="107"/>
  <c r="C49" i="107"/>
  <c r="C45" i="107"/>
  <c r="C41" i="107"/>
  <c r="C35" i="107"/>
  <c r="G35" i="107" s="1"/>
  <c r="C14" i="107"/>
  <c r="C16" i="107" s="1"/>
  <c r="C8" i="107"/>
  <c r="G188" i="107"/>
  <c r="G187" i="107"/>
  <c r="D184" i="107"/>
  <c r="D183" i="107"/>
  <c r="C191" i="107"/>
  <c r="G180" i="107"/>
  <c r="G179" i="107"/>
  <c r="G176" i="107"/>
  <c r="G175" i="107"/>
  <c r="G172" i="107"/>
  <c r="G171" i="107"/>
  <c r="G168" i="107"/>
  <c r="G167" i="107"/>
  <c r="G163" i="107"/>
  <c r="G162" i="107"/>
  <c r="F159" i="107"/>
  <c r="D159" i="107"/>
  <c r="F158" i="107"/>
  <c r="F191" i="107" s="1"/>
  <c r="D158" i="107"/>
  <c r="G155" i="107"/>
  <c r="G154" i="107"/>
  <c r="G151" i="107"/>
  <c r="G150" i="107"/>
  <c r="G147" i="107"/>
  <c r="G146" i="107"/>
  <c r="G139" i="107"/>
  <c r="G138" i="107"/>
  <c r="G134" i="107"/>
  <c r="G131" i="107"/>
  <c r="G130" i="107"/>
  <c r="G127" i="107"/>
  <c r="G125" i="107"/>
  <c r="G122" i="107"/>
  <c r="G121" i="107"/>
  <c r="G120" i="107"/>
  <c r="G118" i="107"/>
  <c r="G117" i="107"/>
  <c r="G116" i="107"/>
  <c r="G113" i="107"/>
  <c r="G112" i="107"/>
  <c r="G111" i="107"/>
  <c r="G109" i="107"/>
  <c r="G108" i="107"/>
  <c r="G107" i="107"/>
  <c r="F103" i="107"/>
  <c r="E103" i="107"/>
  <c r="D103" i="107"/>
  <c r="C103" i="107"/>
  <c r="F102" i="107"/>
  <c r="E102" i="107"/>
  <c r="D102" i="107"/>
  <c r="C102" i="107"/>
  <c r="G101" i="107"/>
  <c r="G100" i="107"/>
  <c r="G99" i="107"/>
  <c r="G97" i="107"/>
  <c r="G96" i="107"/>
  <c r="G95" i="107"/>
  <c r="G94" i="107"/>
  <c r="G93" i="107"/>
  <c r="G91" i="107"/>
  <c r="G90" i="107"/>
  <c r="G89" i="107"/>
  <c r="G88" i="107"/>
  <c r="G87" i="107"/>
  <c r="G85" i="107"/>
  <c r="G84" i="107"/>
  <c r="G83" i="107"/>
  <c r="G82" i="107"/>
  <c r="G81" i="107"/>
  <c r="F77" i="107"/>
  <c r="E77" i="107"/>
  <c r="D77" i="107"/>
  <c r="C77" i="107"/>
  <c r="F76" i="107"/>
  <c r="E76" i="107"/>
  <c r="D76" i="107"/>
  <c r="C76" i="107"/>
  <c r="F75" i="107"/>
  <c r="G75" i="107" s="1"/>
  <c r="F74" i="107"/>
  <c r="E74" i="107"/>
  <c r="D74" i="107"/>
  <c r="C74" i="107"/>
  <c r="F73" i="107"/>
  <c r="E73" i="107"/>
  <c r="D73" i="107"/>
  <c r="C73" i="107"/>
  <c r="G71" i="107"/>
  <c r="G70" i="107"/>
  <c r="G69" i="107"/>
  <c r="G68" i="107"/>
  <c r="G67" i="107"/>
  <c r="G65" i="107"/>
  <c r="G64" i="107"/>
  <c r="G61" i="107"/>
  <c r="G59" i="107"/>
  <c r="G58" i="107"/>
  <c r="G57" i="107"/>
  <c r="G56" i="107"/>
  <c r="G55" i="107"/>
  <c r="G49" i="107"/>
  <c r="G45" i="107"/>
  <c r="G44" i="107"/>
  <c r="G41" i="107"/>
  <c r="G40" i="107"/>
  <c r="G34" i="107"/>
  <c r="G33" i="107"/>
  <c r="G30" i="107"/>
  <c r="E27" i="107"/>
  <c r="D27" i="107"/>
  <c r="G24" i="107"/>
  <c r="F21" i="107"/>
  <c r="F27" i="107" s="1"/>
  <c r="G19" i="107"/>
  <c r="G15" i="107"/>
  <c r="G14" i="107"/>
  <c r="G13" i="107"/>
  <c r="G12" i="107"/>
  <c r="G8" i="107"/>
  <c r="G7" i="107"/>
  <c r="G40" i="106"/>
  <c r="F21" i="106"/>
  <c r="G158" i="107" l="1"/>
  <c r="G16" i="107"/>
  <c r="C21" i="107"/>
  <c r="C27" i="107" s="1"/>
  <c r="G27" i="107" s="1"/>
  <c r="D192" i="107"/>
  <c r="G183" i="107"/>
  <c r="F192" i="107"/>
  <c r="G103" i="107"/>
  <c r="G102" i="107"/>
  <c r="G73" i="107"/>
  <c r="G74" i="107"/>
  <c r="G76" i="107"/>
  <c r="G77" i="107"/>
  <c r="G159" i="107"/>
  <c r="C184" i="107"/>
  <c r="D191" i="107"/>
  <c r="G191" i="107" s="1"/>
  <c r="G21" i="107"/>
  <c r="D35" i="106"/>
  <c r="D8" i="106"/>
  <c r="C192" i="107" l="1"/>
  <c r="G192" i="107" s="1"/>
  <c r="G184" i="107"/>
  <c r="C188" i="106"/>
  <c r="C180" i="106"/>
  <c r="C176" i="106"/>
  <c r="C172" i="106"/>
  <c r="C168" i="106"/>
  <c r="C163" i="106"/>
  <c r="C49" i="106"/>
  <c r="C45" i="106"/>
  <c r="C41" i="106"/>
  <c r="C35" i="106"/>
  <c r="C14" i="106"/>
  <c r="C16" i="106" s="1"/>
  <c r="G16" i="106" s="1"/>
  <c r="C8" i="106"/>
  <c r="G8" i="106" s="1"/>
  <c r="G188" i="106"/>
  <c r="G187" i="106"/>
  <c r="F184" i="106"/>
  <c r="D184" i="106"/>
  <c r="C184" i="106"/>
  <c r="C192" i="106" s="1"/>
  <c r="F183" i="106"/>
  <c r="D183" i="106"/>
  <c r="C183" i="106"/>
  <c r="C191" i="106" s="1"/>
  <c r="G180" i="106"/>
  <c r="G179" i="106"/>
  <c r="G176" i="106"/>
  <c r="G175" i="106"/>
  <c r="G172" i="106"/>
  <c r="G171" i="106"/>
  <c r="G168" i="106"/>
  <c r="G167" i="106"/>
  <c r="G163" i="106"/>
  <c r="G162" i="106"/>
  <c r="F159" i="106"/>
  <c r="F192" i="106" s="1"/>
  <c r="D159" i="106"/>
  <c r="F158" i="106"/>
  <c r="D158" i="106"/>
  <c r="G155" i="106"/>
  <c r="G154" i="106"/>
  <c r="G151" i="106"/>
  <c r="G150" i="106"/>
  <c r="G147" i="106"/>
  <c r="G146" i="106"/>
  <c r="G139" i="106"/>
  <c r="G138" i="106"/>
  <c r="G134" i="106"/>
  <c r="G131" i="106"/>
  <c r="G130" i="106"/>
  <c r="G127" i="106"/>
  <c r="G125" i="106"/>
  <c r="G122" i="106"/>
  <c r="G121" i="106"/>
  <c r="G120" i="106"/>
  <c r="G118" i="106"/>
  <c r="G117" i="106"/>
  <c r="G116" i="106"/>
  <c r="G113" i="106"/>
  <c r="G112" i="106"/>
  <c r="G111" i="106"/>
  <c r="G109" i="106"/>
  <c r="G108" i="106"/>
  <c r="G107" i="106"/>
  <c r="F103" i="106"/>
  <c r="E103" i="106"/>
  <c r="D103" i="106"/>
  <c r="C103" i="106"/>
  <c r="F102" i="106"/>
  <c r="E102" i="106"/>
  <c r="D102" i="106"/>
  <c r="C102" i="106"/>
  <c r="G101" i="106"/>
  <c r="G100" i="106"/>
  <c r="G99" i="106"/>
  <c r="G97" i="106"/>
  <c r="G96" i="106"/>
  <c r="G95" i="106"/>
  <c r="G94" i="106"/>
  <c r="G93" i="106"/>
  <c r="G91" i="106"/>
  <c r="G90" i="106"/>
  <c r="G89" i="106"/>
  <c r="G88" i="106"/>
  <c r="G87" i="106"/>
  <c r="G85" i="106"/>
  <c r="G84" i="106"/>
  <c r="G83" i="106"/>
  <c r="G82" i="106"/>
  <c r="G81" i="106"/>
  <c r="F77" i="106"/>
  <c r="E77" i="106"/>
  <c r="D77" i="106"/>
  <c r="C77" i="106"/>
  <c r="F76" i="106"/>
  <c r="E76" i="106"/>
  <c r="D76" i="106"/>
  <c r="C76" i="106"/>
  <c r="F75" i="106"/>
  <c r="G75" i="106"/>
  <c r="F74" i="106"/>
  <c r="E74" i="106"/>
  <c r="D74" i="106"/>
  <c r="C74" i="106"/>
  <c r="F73" i="106"/>
  <c r="E73" i="106"/>
  <c r="D73" i="106"/>
  <c r="C73" i="106"/>
  <c r="G71" i="106"/>
  <c r="G70" i="106"/>
  <c r="G69" i="106"/>
  <c r="G68" i="106"/>
  <c r="G67" i="106"/>
  <c r="G65" i="106"/>
  <c r="G64" i="106"/>
  <c r="G61" i="106"/>
  <c r="G59" i="106"/>
  <c r="G58" i="106"/>
  <c r="G57" i="106"/>
  <c r="G56" i="106"/>
  <c r="G55" i="106"/>
  <c r="G49" i="106"/>
  <c r="G48" i="106"/>
  <c r="G45" i="106"/>
  <c r="G44" i="106"/>
  <c r="G41" i="106"/>
  <c r="G35" i="106"/>
  <c r="G34" i="106"/>
  <c r="G33" i="106"/>
  <c r="G30" i="106"/>
  <c r="F27" i="106"/>
  <c r="E27" i="106"/>
  <c r="D27" i="106"/>
  <c r="G24" i="106"/>
  <c r="G19" i="106"/>
  <c r="G15" i="106"/>
  <c r="G14" i="106"/>
  <c r="G13" i="106"/>
  <c r="G12" i="106"/>
  <c r="G7" i="106"/>
  <c r="G6" i="106"/>
  <c r="C21" i="106" l="1"/>
  <c r="G159" i="106"/>
  <c r="G73" i="106"/>
  <c r="G74" i="106"/>
  <c r="G183" i="106"/>
  <c r="D191" i="106"/>
  <c r="F191" i="106"/>
  <c r="G184" i="106"/>
  <c r="G158" i="106"/>
  <c r="D192" i="106"/>
  <c r="G192" i="106" s="1"/>
  <c r="G102" i="106"/>
  <c r="G103" i="106"/>
  <c r="G76" i="106"/>
  <c r="G77" i="106"/>
  <c r="G21" i="106" l="1"/>
  <c r="C27" i="106"/>
  <c r="G27" i="106" s="1"/>
  <c r="G191" i="106"/>
  <c r="F184" i="105"/>
  <c r="F183" i="105"/>
  <c r="E77" i="105" l="1"/>
  <c r="E76" i="105"/>
  <c r="E74" i="105"/>
  <c r="E73" i="105"/>
  <c r="E27" i="105"/>
  <c r="C27" i="105" l="1"/>
  <c r="G188" i="105"/>
  <c r="G187" i="105"/>
  <c r="D184" i="105"/>
  <c r="D183" i="105"/>
  <c r="C183" i="105"/>
  <c r="C191" i="105" s="1"/>
  <c r="G180" i="105"/>
  <c r="G179" i="105"/>
  <c r="G176" i="105"/>
  <c r="G175" i="105"/>
  <c r="G172" i="105"/>
  <c r="G171" i="105"/>
  <c r="G168" i="105"/>
  <c r="G167" i="105"/>
  <c r="G163" i="105"/>
  <c r="G162" i="105"/>
  <c r="F159" i="105"/>
  <c r="D159" i="105"/>
  <c r="F158" i="105"/>
  <c r="F191" i="105" s="1"/>
  <c r="D158" i="105"/>
  <c r="G158" i="105" s="1"/>
  <c r="G155" i="105"/>
  <c r="G154" i="105"/>
  <c r="G151" i="105"/>
  <c r="G150" i="105"/>
  <c r="G147" i="105"/>
  <c r="G146" i="105"/>
  <c r="G139" i="105"/>
  <c r="G138" i="105"/>
  <c r="G134" i="105"/>
  <c r="G131" i="105"/>
  <c r="G130" i="105"/>
  <c r="G127" i="105"/>
  <c r="G125" i="105"/>
  <c r="G122" i="105"/>
  <c r="G121" i="105"/>
  <c r="G120" i="105"/>
  <c r="G118" i="105"/>
  <c r="G117" i="105"/>
  <c r="G116" i="105"/>
  <c r="G113" i="105"/>
  <c r="G112" i="105"/>
  <c r="G111" i="105"/>
  <c r="G109" i="105"/>
  <c r="G108" i="105"/>
  <c r="G107" i="105"/>
  <c r="F103" i="105"/>
  <c r="E103" i="105"/>
  <c r="D103" i="105"/>
  <c r="C103" i="105"/>
  <c r="F102" i="105"/>
  <c r="E102" i="105"/>
  <c r="D102" i="105"/>
  <c r="C102" i="105"/>
  <c r="G101" i="105"/>
  <c r="G100" i="105"/>
  <c r="G99" i="105"/>
  <c r="G97" i="105"/>
  <c r="G96" i="105"/>
  <c r="G95" i="105"/>
  <c r="G94" i="105"/>
  <c r="G93" i="105"/>
  <c r="G91" i="105"/>
  <c r="G90" i="105"/>
  <c r="G89" i="105"/>
  <c r="G88" i="105"/>
  <c r="G87" i="105"/>
  <c r="G85" i="105"/>
  <c r="G84" i="105"/>
  <c r="G83" i="105"/>
  <c r="G82" i="105"/>
  <c r="G81" i="105"/>
  <c r="F77" i="105"/>
  <c r="D77" i="105"/>
  <c r="C77" i="105"/>
  <c r="F76" i="105"/>
  <c r="D76" i="105"/>
  <c r="C76" i="105"/>
  <c r="F75" i="105"/>
  <c r="D75" i="105"/>
  <c r="F74" i="105"/>
  <c r="D74" i="105"/>
  <c r="C74" i="105"/>
  <c r="F73" i="105"/>
  <c r="D73" i="105"/>
  <c r="C73" i="105"/>
  <c r="G71" i="105"/>
  <c r="G70" i="105"/>
  <c r="G69" i="105"/>
  <c r="G68" i="105"/>
  <c r="G67" i="105"/>
  <c r="G65" i="105"/>
  <c r="G64" i="105"/>
  <c r="G61" i="105"/>
  <c r="G59" i="105"/>
  <c r="G58" i="105"/>
  <c r="G57" i="105"/>
  <c r="G56" i="105"/>
  <c r="G55" i="105"/>
  <c r="G49" i="105"/>
  <c r="G48" i="105"/>
  <c r="G45" i="105"/>
  <c r="G44" i="105"/>
  <c r="G41" i="105"/>
  <c r="G40" i="105"/>
  <c r="G35" i="105"/>
  <c r="G34" i="105"/>
  <c r="G33" i="105"/>
  <c r="G30" i="105"/>
  <c r="F27" i="105"/>
  <c r="G27" i="105" s="1"/>
  <c r="D27" i="105"/>
  <c r="G24" i="105"/>
  <c r="G19" i="105"/>
  <c r="G16" i="105"/>
  <c r="G15" i="105"/>
  <c r="G14" i="105"/>
  <c r="G13" i="105"/>
  <c r="G12" i="105"/>
  <c r="G8" i="105"/>
  <c r="G7" i="105"/>
  <c r="G6" i="105"/>
  <c r="D192" i="105" l="1"/>
  <c r="G102" i="105"/>
  <c r="F192" i="105"/>
  <c r="G159" i="105"/>
  <c r="G103" i="105"/>
  <c r="G73" i="105"/>
  <c r="D191" i="105"/>
  <c r="G191" i="105" s="1"/>
  <c r="G75" i="105"/>
  <c r="G76" i="105"/>
  <c r="G74" i="105"/>
  <c r="G77" i="105"/>
  <c r="G183" i="105"/>
  <c r="C184" i="105"/>
  <c r="G184" i="105" s="1"/>
  <c r="G21" i="105"/>
  <c r="G69" i="104"/>
  <c r="E27" i="104"/>
  <c r="G24" i="104"/>
  <c r="G6" i="104"/>
  <c r="C192" i="105" l="1"/>
  <c r="G192" i="105" s="1"/>
  <c r="D35" i="104"/>
  <c r="D8" i="104"/>
  <c r="C188" i="104" l="1"/>
  <c r="C180" i="104"/>
  <c r="C184" i="104" s="1"/>
  <c r="C176" i="104"/>
  <c r="C172" i="104"/>
  <c r="G172" i="104" s="1"/>
  <c r="C168" i="104"/>
  <c r="C163" i="104"/>
  <c r="C49" i="104"/>
  <c r="C45" i="104"/>
  <c r="G45" i="104" s="1"/>
  <c r="C41" i="104"/>
  <c r="C35" i="104"/>
  <c r="G35" i="104" s="1"/>
  <c r="C14" i="104"/>
  <c r="C16" i="104" s="1"/>
  <c r="G16" i="104" s="1"/>
  <c r="C8" i="104"/>
  <c r="G8" i="104" s="1"/>
  <c r="G130" i="104"/>
  <c r="G131" i="104"/>
  <c r="G188" i="104"/>
  <c r="G187" i="104"/>
  <c r="F184" i="104"/>
  <c r="D184" i="104"/>
  <c r="F183" i="104"/>
  <c r="D183" i="104"/>
  <c r="C183" i="104"/>
  <c r="C191" i="104" s="1"/>
  <c r="G180" i="104"/>
  <c r="G179" i="104"/>
  <c r="G176" i="104"/>
  <c r="G175" i="104"/>
  <c r="G171" i="104"/>
  <c r="G168" i="104"/>
  <c r="G167" i="104"/>
  <c r="G163" i="104"/>
  <c r="G162" i="104"/>
  <c r="F159" i="104"/>
  <c r="D159" i="104"/>
  <c r="F158" i="104"/>
  <c r="D158" i="104"/>
  <c r="G155" i="104"/>
  <c r="G154" i="104"/>
  <c r="G151" i="104"/>
  <c r="G150" i="104"/>
  <c r="G147" i="104"/>
  <c r="G146" i="104"/>
  <c r="G139" i="104"/>
  <c r="G138" i="104"/>
  <c r="G134" i="104"/>
  <c r="G127" i="104"/>
  <c r="G125" i="104"/>
  <c r="G122" i="104"/>
  <c r="G121" i="104"/>
  <c r="G120" i="104"/>
  <c r="G118" i="104"/>
  <c r="G117" i="104"/>
  <c r="G116" i="104"/>
  <c r="G113" i="104"/>
  <c r="G112" i="104"/>
  <c r="G111" i="104"/>
  <c r="G109" i="104"/>
  <c r="G108" i="104"/>
  <c r="G107" i="104"/>
  <c r="F103" i="104"/>
  <c r="E103" i="104"/>
  <c r="D103" i="104"/>
  <c r="C103" i="104"/>
  <c r="F102" i="104"/>
  <c r="E102" i="104"/>
  <c r="D102" i="104"/>
  <c r="C102" i="104"/>
  <c r="G101" i="104"/>
  <c r="G100" i="104"/>
  <c r="G99" i="104"/>
  <c r="G97" i="104"/>
  <c r="G96" i="104"/>
  <c r="G95" i="104"/>
  <c r="G94" i="104"/>
  <c r="G93" i="104"/>
  <c r="G91" i="104"/>
  <c r="G90" i="104"/>
  <c r="G89" i="104"/>
  <c r="G88" i="104"/>
  <c r="G87" i="104"/>
  <c r="G85" i="104"/>
  <c r="G84" i="104"/>
  <c r="G83" i="104"/>
  <c r="G82" i="104"/>
  <c r="G81" i="104"/>
  <c r="F77" i="104"/>
  <c r="D77" i="104"/>
  <c r="C77" i="104"/>
  <c r="F76" i="104"/>
  <c r="D76" i="104"/>
  <c r="C76" i="104"/>
  <c r="F75" i="104"/>
  <c r="G75" i="104" s="1"/>
  <c r="D75" i="104"/>
  <c r="F74" i="104"/>
  <c r="D74" i="104"/>
  <c r="C74" i="104"/>
  <c r="F73" i="104"/>
  <c r="D73" i="104"/>
  <c r="C73" i="104"/>
  <c r="G71" i="104"/>
  <c r="G70" i="104"/>
  <c r="G68" i="104"/>
  <c r="G67" i="104"/>
  <c r="G65" i="104"/>
  <c r="G64" i="104"/>
  <c r="G61" i="104"/>
  <c r="G59" i="104"/>
  <c r="G58" i="104"/>
  <c r="G57" i="104"/>
  <c r="G56" i="104"/>
  <c r="G55" i="104"/>
  <c r="G49" i="104"/>
  <c r="G48" i="104"/>
  <c r="G44" i="104"/>
  <c r="G41" i="104"/>
  <c r="G40" i="104"/>
  <c r="G34" i="104"/>
  <c r="G33" i="104"/>
  <c r="G30" i="104"/>
  <c r="D27" i="104"/>
  <c r="F21" i="104"/>
  <c r="F27" i="104" s="1"/>
  <c r="G19" i="104"/>
  <c r="G15" i="104"/>
  <c r="G13" i="104"/>
  <c r="G12" i="104"/>
  <c r="G7" i="104"/>
  <c r="G138" i="103"/>
  <c r="G158" i="104" l="1"/>
  <c r="G77" i="104"/>
  <c r="G76" i="104"/>
  <c r="G14" i="104"/>
  <c r="F191" i="104"/>
  <c r="F192" i="104"/>
  <c r="G73" i="104"/>
  <c r="G184" i="104"/>
  <c r="D192" i="104"/>
  <c r="G159" i="104"/>
  <c r="D191" i="104"/>
  <c r="G102" i="104"/>
  <c r="G103" i="104"/>
  <c r="G74" i="104"/>
  <c r="C21" i="104"/>
  <c r="G183" i="104"/>
  <c r="C192" i="104"/>
  <c r="D35" i="103"/>
  <c r="D16" i="103"/>
  <c r="D8" i="103"/>
  <c r="G191" i="104" l="1"/>
  <c r="G192" i="104"/>
  <c r="C27" i="104"/>
  <c r="G27" i="104" s="1"/>
  <c r="G21" i="104"/>
  <c r="C188" i="103"/>
  <c r="C180" i="103"/>
  <c r="C176" i="103"/>
  <c r="C172" i="103"/>
  <c r="C168" i="103"/>
  <c r="C163" i="103"/>
  <c r="C103" i="103"/>
  <c r="C102" i="103"/>
  <c r="C49" i="103"/>
  <c r="C45" i="103"/>
  <c r="G45" i="103" s="1"/>
  <c r="C41" i="103"/>
  <c r="C35" i="103"/>
  <c r="G35" i="103" s="1"/>
  <c r="C14" i="103"/>
  <c r="C16" i="103" s="1"/>
  <c r="G16" i="103" s="1"/>
  <c r="C8" i="103"/>
  <c r="G8" i="103" s="1"/>
  <c r="G188" i="103"/>
  <c r="G187" i="103"/>
  <c r="F184" i="103"/>
  <c r="D184" i="103"/>
  <c r="F183" i="103"/>
  <c r="D183" i="103"/>
  <c r="C183" i="103"/>
  <c r="C191" i="103" s="1"/>
  <c r="C184" i="103"/>
  <c r="G179" i="103"/>
  <c r="G176" i="103"/>
  <c r="G175" i="103"/>
  <c r="G172" i="103"/>
  <c r="G171" i="103"/>
  <c r="G168" i="103"/>
  <c r="G167" i="103"/>
  <c r="G163" i="103"/>
  <c r="G162" i="103"/>
  <c r="F159" i="103"/>
  <c r="D159" i="103"/>
  <c r="F158" i="103"/>
  <c r="D158" i="103"/>
  <c r="G155" i="103"/>
  <c r="G154" i="103"/>
  <c r="G151" i="103"/>
  <c r="G150" i="103"/>
  <c r="G147" i="103"/>
  <c r="G146" i="103"/>
  <c r="G139" i="103"/>
  <c r="G134" i="103"/>
  <c r="G131" i="103"/>
  <c r="G130" i="103"/>
  <c r="G127" i="103"/>
  <c r="G125" i="103"/>
  <c r="G122" i="103"/>
  <c r="G121" i="103"/>
  <c r="G120" i="103"/>
  <c r="G118" i="103"/>
  <c r="G117" i="103"/>
  <c r="G116" i="103"/>
  <c r="G113" i="103"/>
  <c r="G112" i="103"/>
  <c r="G111" i="103"/>
  <c r="G109" i="103"/>
  <c r="G108" i="103"/>
  <c r="G107" i="103"/>
  <c r="F103" i="103"/>
  <c r="E103" i="103"/>
  <c r="D103" i="103"/>
  <c r="F102" i="103"/>
  <c r="E102" i="103"/>
  <c r="D102" i="103"/>
  <c r="G101" i="103"/>
  <c r="G100" i="103"/>
  <c r="G99" i="103"/>
  <c r="G97" i="103"/>
  <c r="G96" i="103"/>
  <c r="G95" i="103"/>
  <c r="G94" i="103"/>
  <c r="G93" i="103"/>
  <c r="G91" i="103"/>
  <c r="G90" i="103"/>
  <c r="G89" i="103"/>
  <c r="G88" i="103"/>
  <c r="G87" i="103"/>
  <c r="G85" i="103"/>
  <c r="G84" i="103"/>
  <c r="G83" i="103"/>
  <c r="G82" i="103"/>
  <c r="G81" i="103"/>
  <c r="F77" i="103"/>
  <c r="D77" i="103"/>
  <c r="C77" i="103"/>
  <c r="F76" i="103"/>
  <c r="D76" i="103"/>
  <c r="C76" i="103"/>
  <c r="F75" i="103"/>
  <c r="D75" i="103"/>
  <c r="F74" i="103"/>
  <c r="D74" i="103"/>
  <c r="C74" i="103"/>
  <c r="F73" i="103"/>
  <c r="D73" i="103"/>
  <c r="C73" i="103"/>
  <c r="G71" i="103"/>
  <c r="G70" i="103"/>
  <c r="G69" i="103"/>
  <c r="G68" i="103"/>
  <c r="G67" i="103"/>
  <c r="G65" i="103"/>
  <c r="G64" i="103"/>
  <c r="G61" i="103"/>
  <c r="G59" i="103"/>
  <c r="G58" i="103"/>
  <c r="G57" i="103"/>
  <c r="G56" i="103"/>
  <c r="G55" i="103"/>
  <c r="G49" i="103"/>
  <c r="G48" i="103"/>
  <c r="G44" i="103"/>
  <c r="G41" i="103"/>
  <c r="G40" i="103"/>
  <c r="G34" i="103"/>
  <c r="G33" i="103"/>
  <c r="G30" i="103"/>
  <c r="E27" i="103"/>
  <c r="D27" i="103"/>
  <c r="G24" i="103"/>
  <c r="F21" i="103"/>
  <c r="F27" i="103" s="1"/>
  <c r="G19" i="103"/>
  <c r="G15" i="103"/>
  <c r="G14" i="103"/>
  <c r="G13" i="103"/>
  <c r="G12" i="103"/>
  <c r="G7" i="103"/>
  <c r="G6" i="103"/>
  <c r="F159" i="102"/>
  <c r="F158" i="102"/>
  <c r="F77" i="102"/>
  <c r="F76" i="102"/>
  <c r="F75" i="102"/>
  <c r="F74" i="102"/>
  <c r="F73" i="102"/>
  <c r="F21" i="102"/>
  <c r="E102" i="102"/>
  <c r="E103" i="102"/>
  <c r="G75" i="103" l="1"/>
  <c r="D192" i="103"/>
  <c r="D191" i="103"/>
  <c r="F191" i="103"/>
  <c r="G74" i="103"/>
  <c r="G77" i="103"/>
  <c r="F192" i="103"/>
  <c r="G183" i="103"/>
  <c r="G159" i="103"/>
  <c r="G158" i="103"/>
  <c r="G103" i="103"/>
  <c r="G102" i="103"/>
  <c r="G73" i="103"/>
  <c r="G76" i="103"/>
  <c r="C192" i="103"/>
  <c r="G184" i="103"/>
  <c r="C21" i="103"/>
  <c r="G180" i="103"/>
  <c r="D103" i="102"/>
  <c r="D102" i="102"/>
  <c r="D77" i="102"/>
  <c r="D76" i="102"/>
  <c r="D75" i="102"/>
  <c r="D74" i="102"/>
  <c r="D73" i="102"/>
  <c r="D35" i="102"/>
  <c r="D16" i="102"/>
  <c r="D8" i="102"/>
  <c r="G191" i="103" l="1"/>
  <c r="G192" i="103"/>
  <c r="G21" i="103"/>
  <c r="C27" i="103"/>
  <c r="G27" i="103" s="1"/>
  <c r="C188" i="102"/>
  <c r="G188" i="102" s="1"/>
  <c r="C180" i="102"/>
  <c r="C176" i="102"/>
  <c r="C172" i="102"/>
  <c r="C184" i="102" s="1"/>
  <c r="C168" i="102"/>
  <c r="C163" i="102"/>
  <c r="C103" i="102"/>
  <c r="C102" i="102"/>
  <c r="C77" i="102"/>
  <c r="G77" i="102" s="1"/>
  <c r="C76" i="102"/>
  <c r="G76" i="102" s="1"/>
  <c r="C74" i="102"/>
  <c r="C73" i="102"/>
  <c r="C49" i="102"/>
  <c r="G49" i="102" s="1"/>
  <c r="C45" i="102"/>
  <c r="C41" i="102"/>
  <c r="C35" i="102"/>
  <c r="G35" i="102" s="1"/>
  <c r="C14" i="102"/>
  <c r="C16" i="102" s="1"/>
  <c r="C8" i="102"/>
  <c r="G187" i="102"/>
  <c r="F184" i="102"/>
  <c r="F192" i="102" s="1"/>
  <c r="D184" i="102"/>
  <c r="F183" i="102"/>
  <c r="D183" i="102"/>
  <c r="C183" i="102"/>
  <c r="C191" i="102" s="1"/>
  <c r="G179" i="102"/>
  <c r="G176" i="102"/>
  <c r="G175" i="102"/>
  <c r="G171" i="102"/>
  <c r="G168" i="102"/>
  <c r="G167" i="102"/>
  <c r="G163" i="102"/>
  <c r="G162" i="102"/>
  <c r="D159" i="102"/>
  <c r="D158" i="102"/>
  <c r="G155" i="102"/>
  <c r="G154" i="102"/>
  <c r="G151" i="102"/>
  <c r="G150" i="102"/>
  <c r="G147" i="102"/>
  <c r="G146" i="102"/>
  <c r="G139" i="102"/>
  <c r="G138" i="102"/>
  <c r="G134" i="102"/>
  <c r="G131" i="102"/>
  <c r="G130" i="102"/>
  <c r="G127" i="102"/>
  <c r="G125" i="102"/>
  <c r="G122" i="102"/>
  <c r="G121" i="102"/>
  <c r="G120" i="102"/>
  <c r="G118" i="102"/>
  <c r="G117" i="102"/>
  <c r="G116" i="102"/>
  <c r="G113" i="102"/>
  <c r="G112" i="102"/>
  <c r="G111" i="102"/>
  <c r="G109" i="102"/>
  <c r="G108" i="102"/>
  <c r="G107" i="102"/>
  <c r="F103" i="102"/>
  <c r="F102" i="102"/>
  <c r="G101" i="102"/>
  <c r="G100" i="102"/>
  <c r="G99" i="102"/>
  <c r="G97" i="102"/>
  <c r="G96" i="102"/>
  <c r="G95" i="102"/>
  <c r="G94" i="102"/>
  <c r="G93" i="102"/>
  <c r="G91" i="102"/>
  <c r="G90" i="102"/>
  <c r="G89" i="102"/>
  <c r="G88" i="102"/>
  <c r="G87" i="102"/>
  <c r="G85" i="102"/>
  <c r="G84" i="102"/>
  <c r="G83" i="102"/>
  <c r="G82" i="102"/>
  <c r="G81" i="102"/>
  <c r="G75" i="102"/>
  <c r="G71" i="102"/>
  <c r="G70" i="102"/>
  <c r="G69" i="102"/>
  <c r="G68" i="102"/>
  <c r="G67" i="102"/>
  <c r="G65" i="102"/>
  <c r="G64" i="102"/>
  <c r="G61" i="102"/>
  <c r="G59" i="102"/>
  <c r="G58" i="102"/>
  <c r="G57" i="102"/>
  <c r="G56" i="102"/>
  <c r="G55" i="102"/>
  <c r="G48" i="102"/>
  <c r="G45" i="102"/>
  <c r="G44" i="102"/>
  <c r="G41" i="102"/>
  <c r="G40" i="102"/>
  <c r="G34" i="102"/>
  <c r="G33" i="102"/>
  <c r="G30" i="102"/>
  <c r="F27" i="102"/>
  <c r="E27" i="102"/>
  <c r="D27" i="102"/>
  <c r="G24" i="102"/>
  <c r="G19" i="102"/>
  <c r="G15" i="102"/>
  <c r="G14" i="102"/>
  <c r="G13" i="102"/>
  <c r="G12" i="102"/>
  <c r="G8" i="102"/>
  <c r="G7" i="102"/>
  <c r="G6" i="102"/>
  <c r="F184" i="101"/>
  <c r="F184" i="100"/>
  <c r="F183" i="101"/>
  <c r="F183" i="100"/>
  <c r="F77" i="101"/>
  <c r="F76" i="101"/>
  <c r="F75" i="101"/>
  <c r="F74" i="101"/>
  <c r="F73" i="101"/>
  <c r="G172" i="102" l="1"/>
  <c r="G184" i="102"/>
  <c r="G16" i="102"/>
  <c r="C21" i="102"/>
  <c r="F191" i="102"/>
  <c r="G191" i="102" s="1"/>
  <c r="G158" i="102"/>
  <c r="G159" i="102"/>
  <c r="G102" i="102"/>
  <c r="G103" i="102"/>
  <c r="G74" i="102"/>
  <c r="G73" i="102"/>
  <c r="C192" i="102"/>
  <c r="G192" i="102" s="1"/>
  <c r="G180" i="102"/>
  <c r="G183" i="102"/>
  <c r="D184" i="101"/>
  <c r="D183" i="101"/>
  <c r="D159" i="101"/>
  <c r="D158" i="101"/>
  <c r="D77" i="101"/>
  <c r="D76" i="101"/>
  <c r="D75" i="101"/>
  <c r="D74" i="101"/>
  <c r="D73" i="101"/>
  <c r="D35" i="101"/>
  <c r="D8" i="101"/>
  <c r="G21" i="102" l="1"/>
  <c r="C27" i="102"/>
  <c r="G27" i="102" s="1"/>
  <c r="C188" i="101"/>
  <c r="C183" i="101"/>
  <c r="C180" i="101"/>
  <c r="C176" i="101"/>
  <c r="C172" i="101"/>
  <c r="C184" i="101" s="1"/>
  <c r="C168" i="101"/>
  <c r="C163" i="101"/>
  <c r="C77" i="101"/>
  <c r="C76" i="101"/>
  <c r="C74" i="101"/>
  <c r="C73" i="101"/>
  <c r="C49" i="101"/>
  <c r="C45" i="101"/>
  <c r="C41" i="101"/>
  <c r="C35" i="101"/>
  <c r="C14" i="101"/>
  <c r="C16" i="101" s="1"/>
  <c r="C8" i="101"/>
  <c r="E158" i="100"/>
  <c r="D159" i="100" l="1"/>
  <c r="D158" i="100"/>
  <c r="C77" i="99" l="1"/>
  <c r="C76" i="99"/>
  <c r="C73" i="98"/>
  <c r="F184" i="99" l="1"/>
  <c r="F184" i="98"/>
  <c r="F183" i="99"/>
  <c r="F183" i="98"/>
  <c r="F21" i="99"/>
  <c r="C188" i="99" l="1"/>
  <c r="C183" i="99"/>
  <c r="C180" i="99"/>
  <c r="C176" i="99"/>
  <c r="C172" i="99"/>
  <c r="C168" i="99"/>
  <c r="C163" i="99"/>
  <c r="C74" i="99"/>
  <c r="C73" i="99"/>
  <c r="C49" i="99"/>
  <c r="C45" i="99"/>
  <c r="C41" i="99"/>
  <c r="F188" i="98"/>
  <c r="F187" i="98"/>
  <c r="F77" i="98"/>
  <c r="F76" i="98"/>
  <c r="F75" i="98"/>
  <c r="F74" i="98"/>
  <c r="F73" i="98"/>
  <c r="F21" i="98"/>
  <c r="E184" i="98"/>
  <c r="E183" i="98"/>
  <c r="E191" i="98" s="1"/>
  <c r="C184" i="99" l="1"/>
  <c r="D77" i="98"/>
  <c r="D76" i="98"/>
  <c r="D75" i="98"/>
  <c r="D74" i="98"/>
  <c r="D73" i="98"/>
  <c r="D35" i="98"/>
  <c r="D8" i="98"/>
  <c r="C188" i="98" l="1"/>
  <c r="C183" i="98"/>
  <c r="C180" i="98"/>
  <c r="C176" i="98"/>
  <c r="C172" i="98"/>
  <c r="C168" i="98"/>
  <c r="C163" i="98"/>
  <c r="C103" i="98"/>
  <c r="C102" i="98"/>
  <c r="C77" i="98"/>
  <c r="C76" i="98"/>
  <c r="C74" i="98"/>
  <c r="C49" i="98"/>
  <c r="C45" i="98"/>
  <c r="C41" i="98"/>
  <c r="C35" i="98"/>
  <c r="C14" i="98"/>
  <c r="C16" i="98" s="1"/>
  <c r="C21" i="98" s="1"/>
  <c r="C8" i="98"/>
  <c r="F21" i="97"/>
  <c r="C184" i="98" l="1"/>
  <c r="D8" i="97"/>
  <c r="C188" i="97" l="1"/>
  <c r="C183" i="97"/>
  <c r="C180" i="97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C184" i="97" l="1"/>
  <c r="D35" i="96"/>
  <c r="D8" i="96"/>
  <c r="C188" i="96" l="1"/>
  <c r="C183" i="96"/>
  <c r="C180" i="96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4" i="96" l="1"/>
  <c r="C188" i="95"/>
  <c r="C183" i="95"/>
  <c r="C180" i="95"/>
  <c r="C184" i="95" s="1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84" i="93"/>
  <c r="E183" i="93"/>
  <c r="E21" i="94"/>
  <c r="B188" i="94" l="1"/>
  <c r="B183" i="94"/>
  <c r="B180" i="94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4" i="94" l="1"/>
  <c r="B188" i="93"/>
  <c r="B183" i="93"/>
  <c r="B180" i="93"/>
  <c r="B184" i="93" s="1"/>
  <c r="B176" i="93"/>
  <c r="B172" i="93"/>
  <c r="B168" i="93"/>
  <c r="B163" i="93"/>
  <c r="B49" i="93"/>
  <c r="B45" i="93"/>
  <c r="B41" i="93"/>
  <c r="B21" i="93"/>
  <c r="B188" i="92"/>
  <c r="B183" i="92"/>
  <c r="B180" i="92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B184" i="92" l="1"/>
  <c r="D103" i="91"/>
  <c r="D102" i="91"/>
  <c r="D35" i="91"/>
  <c r="D8" i="91"/>
  <c r="C188" i="91" l="1"/>
  <c r="C183" i="91"/>
  <c r="C180" i="91"/>
  <c r="C176" i="91"/>
  <c r="G176" i="91" s="1"/>
  <c r="C172" i="91"/>
  <c r="C168" i="91"/>
  <c r="G168" i="91" s="1"/>
  <c r="C163" i="91"/>
  <c r="C77" i="91"/>
  <c r="C76" i="91"/>
  <c r="C74" i="91"/>
  <c r="C73" i="91"/>
  <c r="G73" i="91" s="1"/>
  <c r="C49" i="91"/>
  <c r="G49" i="91" s="1"/>
  <c r="C45" i="91"/>
  <c r="C41" i="91"/>
  <c r="G41" i="91" s="1"/>
  <c r="C35" i="91"/>
  <c r="G35" i="91" s="1"/>
  <c r="C14" i="91"/>
  <c r="C16" i="91" s="1"/>
  <c r="G16" i="91" s="1"/>
  <c r="C8" i="91"/>
  <c r="G188" i="101"/>
  <c r="G187" i="101"/>
  <c r="G180" i="101"/>
  <c r="G179" i="101"/>
  <c r="G176" i="101"/>
  <c r="G175" i="101"/>
  <c r="G172" i="101"/>
  <c r="G171" i="101"/>
  <c r="G168" i="101"/>
  <c r="G167" i="101"/>
  <c r="G163" i="101"/>
  <c r="G162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4" i="101"/>
  <c r="G21" i="101"/>
  <c r="G19" i="101"/>
  <c r="G16" i="101"/>
  <c r="G15" i="101"/>
  <c r="G14" i="101"/>
  <c r="G13" i="101"/>
  <c r="G12" i="101"/>
  <c r="G8" i="101"/>
  <c r="G7" i="101"/>
  <c r="G6" i="101"/>
  <c r="G188" i="100"/>
  <c r="G187" i="100"/>
  <c r="G180" i="100"/>
  <c r="G179" i="100"/>
  <c r="G176" i="100"/>
  <c r="G175" i="100"/>
  <c r="G172" i="100"/>
  <c r="G171" i="100"/>
  <c r="G168" i="100"/>
  <c r="G167" i="100"/>
  <c r="G163" i="100"/>
  <c r="G162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4" i="100"/>
  <c r="G21" i="100"/>
  <c r="G19" i="100"/>
  <c r="G16" i="100"/>
  <c r="G15" i="100"/>
  <c r="G14" i="100"/>
  <c r="G13" i="100"/>
  <c r="G12" i="100"/>
  <c r="G8" i="100"/>
  <c r="G7" i="100"/>
  <c r="G6" i="100"/>
  <c r="G180" i="99"/>
  <c r="G179" i="99"/>
  <c r="G176" i="99"/>
  <c r="G175" i="99"/>
  <c r="G172" i="99"/>
  <c r="G171" i="99"/>
  <c r="G168" i="99"/>
  <c r="G167" i="99"/>
  <c r="G163" i="99"/>
  <c r="G162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4" i="99"/>
  <c r="G21" i="99"/>
  <c r="G19" i="99"/>
  <c r="G16" i="99"/>
  <c r="G15" i="99"/>
  <c r="G14" i="99"/>
  <c r="G13" i="99"/>
  <c r="G12" i="99"/>
  <c r="G8" i="99"/>
  <c r="G7" i="99"/>
  <c r="G6" i="99"/>
  <c r="G188" i="98"/>
  <c r="G187" i="98"/>
  <c r="G180" i="98"/>
  <c r="G179" i="98"/>
  <c r="G176" i="98"/>
  <c r="G175" i="98"/>
  <c r="G172" i="98"/>
  <c r="G171" i="98"/>
  <c r="G168" i="98"/>
  <c r="G167" i="98"/>
  <c r="G163" i="98"/>
  <c r="G162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5" i="91"/>
  <c r="G172" i="91"/>
  <c r="G171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8" i="91"/>
  <c r="G45" i="91"/>
  <c r="G44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1" i="68"/>
  <c r="G70" i="68"/>
  <c r="G69" i="68"/>
  <c r="G68" i="68"/>
  <c r="G67" i="68"/>
  <c r="G59" i="68"/>
  <c r="G58" i="68"/>
  <c r="G57" i="68"/>
  <c r="G56" i="68"/>
  <c r="G55" i="68"/>
  <c r="G48" i="68"/>
  <c r="G44" i="68"/>
  <c r="G40" i="68"/>
  <c r="G34" i="68"/>
  <c r="G33" i="68"/>
  <c r="G30" i="68"/>
  <c r="G24" i="68"/>
  <c r="G19" i="68"/>
  <c r="G16" i="68"/>
  <c r="G15" i="68"/>
  <c r="G14" i="68"/>
  <c r="G13" i="68"/>
  <c r="G12" i="68"/>
  <c r="G7" i="68"/>
  <c r="G6" i="68"/>
  <c r="C184" i="91" l="1"/>
  <c r="C21" i="9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E74" i="68"/>
  <c r="E73" i="68"/>
  <c r="E35" i="68"/>
  <c r="D8" i="68" l="1"/>
  <c r="G8" i="68" s="1"/>
  <c r="C188" i="68" l="1"/>
  <c r="C183" i="68"/>
  <c r="C180" i="68"/>
  <c r="C176" i="68"/>
  <c r="C172" i="68"/>
  <c r="C168" i="68"/>
  <c r="C163" i="68"/>
  <c r="C77" i="68"/>
  <c r="G77" i="68" s="1"/>
  <c r="C76" i="68"/>
  <c r="G76" i="68" s="1"/>
  <c r="C74" i="68"/>
  <c r="G74" i="68" s="1"/>
  <c r="C73" i="68"/>
  <c r="G73" i="68" s="1"/>
  <c r="C49" i="68"/>
  <c r="G49" i="68" s="1"/>
  <c r="C45" i="68"/>
  <c r="G45" i="68" s="1"/>
  <c r="C41" i="68"/>
  <c r="G41" i="68" s="1"/>
  <c r="C35" i="68"/>
  <c r="G35" i="68" s="1"/>
  <c r="C21" i="68"/>
  <c r="G21" i="68" s="1"/>
  <c r="C192" i="101"/>
  <c r="C191" i="101"/>
  <c r="G184" i="101"/>
  <c r="G183" i="101"/>
  <c r="F159" i="101"/>
  <c r="F158" i="10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G184" i="100"/>
  <c r="G183" i="100"/>
  <c r="F159" i="100"/>
  <c r="F158" i="100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G184" i="99"/>
  <c r="G183" i="99"/>
  <c r="F159" i="99"/>
  <c r="F158" i="99"/>
  <c r="F103" i="99"/>
  <c r="E103" i="99"/>
  <c r="C103" i="99"/>
  <c r="F102" i="99"/>
  <c r="E102" i="99"/>
  <c r="C102" i="99"/>
  <c r="F27" i="99"/>
  <c r="E27" i="99"/>
  <c r="D27" i="99"/>
  <c r="C27" i="99"/>
  <c r="C192" i="98"/>
  <c r="C191" i="98"/>
  <c r="G184" i="98"/>
  <c r="G183" i="98"/>
  <c r="F159" i="98"/>
  <c r="F192" i="98" s="1"/>
  <c r="F158" i="98"/>
  <c r="F103" i="98"/>
  <c r="E103" i="98"/>
  <c r="F102" i="98"/>
  <c r="E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58" i="94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92" i="93" s="1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C184" i="68" l="1"/>
  <c r="G27" i="101"/>
  <c r="G102" i="101"/>
  <c r="G103" i="101"/>
  <c r="F191" i="101"/>
  <c r="G191" i="101" s="1"/>
  <c r="G158" i="101"/>
  <c r="E187" i="94"/>
  <c r="E191" i="94"/>
  <c r="F191" i="94" s="1"/>
  <c r="F192" i="101"/>
  <c r="G192" i="101" s="1"/>
  <c r="G159" i="101"/>
  <c r="E188" i="94"/>
  <c r="G103" i="100"/>
  <c r="G102" i="100"/>
  <c r="F192" i="100"/>
  <c r="G192" i="100" s="1"/>
  <c r="G159" i="100"/>
  <c r="F191" i="100"/>
  <c r="G191" i="100" s="1"/>
  <c r="G158" i="100"/>
  <c r="G27" i="100"/>
  <c r="F188" i="99"/>
  <c r="G188" i="99" s="1"/>
  <c r="F187" i="99"/>
  <c r="G187" i="99" s="1"/>
  <c r="G159" i="99"/>
  <c r="G158" i="99"/>
  <c r="G103" i="99"/>
  <c r="G102" i="99"/>
  <c r="G27" i="99"/>
  <c r="G103" i="98"/>
  <c r="G102" i="98"/>
  <c r="G192" i="98"/>
  <c r="G159" i="98"/>
  <c r="F191" i="98"/>
  <c r="G191" i="98" s="1"/>
  <c r="G158" i="98"/>
  <c r="G27" i="98"/>
  <c r="F192" i="97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59" i="94"/>
  <c r="F27" i="94"/>
  <c r="F102" i="94"/>
  <c r="F103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F183" i="94" l="1"/>
  <c r="F187" i="94"/>
  <c r="F184" i="94"/>
  <c r="F188" i="94"/>
  <c r="E192" i="94"/>
  <c r="F192" i="94" s="1"/>
  <c r="F191" i="99"/>
  <c r="G191" i="99" s="1"/>
  <c r="F192" i="99"/>
  <c r="G192" i="99" s="1"/>
  <c r="G127" i="68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<sst xmlns="http://schemas.openxmlformats.org/spreadsheetml/2006/main" count="3909" uniqueCount="110">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</sst>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5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0" fillId="0" borderId="0"/>
  </cellStyleXfs>
  <cellXfs count="9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169" fontId="0" fillId="0" borderId="2" xfId="0" applyNumberFormat="1" applyBorder="1"/>
    <xf numFmtId="2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2" fontId="7" fillId="0" borderId="2" xfId="0" applyNumberFormat="1" applyFont="1" applyBorder="1" applyAlignment="1">
      <alignment horizontal="center"/>
    </xf>
    <xf numFmtId="3" fontId="0" fillId="0" borderId="0" xfId="0" applyNumberFormat="1"/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</cellXfs>
  <cellStyles count="25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7" xfId="24" xr:uid="{00000000-0005-0000-0000-000016000000}"/>
    <cellStyle name="Normal 9" xfId="22" xr:uid="{00000000-0005-0000-0000-000017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7" sqref="C67:C71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12">
        <v>106801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119242</v>
      </c>
    </row>
    <row r="56" spans="2:9" x14ac:dyDescent="0.25">
      <c r="B56" s="14" t="s">
        <v>47</v>
      </c>
      <c r="C56" s="12">
        <v>63486.650983</v>
      </c>
      <c r="D56" s="12">
        <v>5836.43324199995</v>
      </c>
      <c r="E56" s="12">
        <v>2252</v>
      </c>
      <c r="F56" s="12">
        <v>12585</v>
      </c>
      <c r="G56" s="27">
        <f t="shared" si="0"/>
        <v>84160.084224999955</v>
      </c>
    </row>
    <row r="57" spans="2:9" x14ac:dyDescent="0.25">
      <c r="B57" s="14" t="s">
        <v>48</v>
      </c>
      <c r="C57" s="12">
        <v>11.265437589535701</v>
      </c>
      <c r="D57" s="12">
        <v>34</v>
      </c>
      <c r="E57" s="12">
        <v>20</v>
      </c>
      <c r="F57" s="12">
        <v>29</v>
      </c>
      <c r="G57" s="27">
        <f>AVERAGE(C57:F57)</f>
        <v>23.566359397383927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12">
        <v>4541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21910</v>
      </c>
    </row>
    <row r="68" spans="2:8" x14ac:dyDescent="0.25">
      <c r="B68" s="14" t="s">
        <v>47</v>
      </c>
      <c r="C68" s="12">
        <v>3808.7505890000002</v>
      </c>
      <c r="D68" s="12">
        <v>1911.2171000000001</v>
      </c>
      <c r="E68" s="12">
        <v>1716</v>
      </c>
      <c r="F68" s="12">
        <v>18380</v>
      </c>
      <c r="G68" s="27">
        <f t="shared" si="2"/>
        <v>25815.967689000001</v>
      </c>
    </row>
    <row r="69" spans="2:8" x14ac:dyDescent="0.25">
      <c r="B69" s="14" t="s">
        <v>48</v>
      </c>
      <c r="C69" s="12">
        <v>32.454965866549202</v>
      </c>
      <c r="D69" s="12">
        <v>54</v>
      </c>
      <c r="E69" s="12">
        <v>46</v>
      </c>
      <c r="F69" s="12">
        <v>38</v>
      </c>
      <c r="G69" s="27">
        <f>AVERAGE(C69:F69)</f>
        <v>42.6137414666373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111342</v>
      </c>
      <c r="D73" s="19">
        <v>7521</v>
      </c>
      <c r="E73" s="19">
        <f>+E55+E67</f>
        <v>3223</v>
      </c>
      <c r="F73" s="19">
        <v>19066</v>
      </c>
      <c r="G73" s="19">
        <f>SUM(C73:F73)</f>
        <v>141152</v>
      </c>
    </row>
    <row r="74" spans="2:8" x14ac:dyDescent="0.25">
      <c r="B74" s="18" t="s">
        <v>47</v>
      </c>
      <c r="C74" s="19">
        <f>+C56+C68</f>
        <v>67295.401572000002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109976.05191399995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96"/>
  <sheetViews>
    <sheetView zoomScaleNormal="100" workbookViewId="0">
      <selection activeCell="C67" sqref="C67:C71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95749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106250</v>
      </c>
    </row>
    <row r="56" spans="2:9" x14ac:dyDescent="0.25">
      <c r="B56" s="14" t="s">
        <v>47</v>
      </c>
      <c r="C56" s="27">
        <v>50954.255687999997</v>
      </c>
      <c r="D56" s="27">
        <v>5929.3021079999698</v>
      </c>
      <c r="E56" s="27">
        <v>2015</v>
      </c>
      <c r="F56" s="27">
        <v>9416</v>
      </c>
      <c r="G56" s="27">
        <f t="shared" si="0"/>
        <v>68314.557795999965</v>
      </c>
    </row>
    <row r="57" spans="2:9" x14ac:dyDescent="0.25">
      <c r="B57" s="14" t="s">
        <v>48</v>
      </c>
      <c r="C57" s="27">
        <v>10.1654325371544</v>
      </c>
      <c r="D57" s="27">
        <v>36</v>
      </c>
      <c r="E57" s="27">
        <v>19</v>
      </c>
      <c r="F57" s="27">
        <v>29</v>
      </c>
      <c r="G57" s="27">
        <f>AVERAGE(C57:F57)</f>
        <v>23.5413581342886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3752</v>
      </c>
      <c r="D67" s="27">
        <v>1474</v>
      </c>
      <c r="E67" s="27">
        <v>1308</v>
      </c>
      <c r="F67" s="27">
        <v>11192</v>
      </c>
      <c r="G67" s="27">
        <f t="shared" si="0"/>
        <v>17726</v>
      </c>
    </row>
    <row r="68" spans="2:8" x14ac:dyDescent="0.25">
      <c r="B68" s="14" t="s">
        <v>47</v>
      </c>
      <c r="C68" s="27">
        <v>3097.8456890000002</v>
      </c>
      <c r="D68" s="27">
        <v>1402.2541570000001</v>
      </c>
      <c r="E68" s="27">
        <v>1567</v>
      </c>
      <c r="F68" s="27">
        <v>14514</v>
      </c>
      <c r="G68" s="27">
        <f t="shared" si="0"/>
        <v>20581.099846000001</v>
      </c>
    </row>
    <row r="69" spans="2:8" x14ac:dyDescent="0.25">
      <c r="B69" s="14" t="s">
        <v>48</v>
      </c>
      <c r="C69" s="27">
        <v>32.330223880597003</v>
      </c>
      <c r="D69" s="27">
        <v>53</v>
      </c>
      <c r="E69" s="27">
        <v>47</v>
      </c>
      <c r="F69" s="27">
        <v>38</v>
      </c>
      <c r="G69" s="27">
        <f>AVERAGE(C69:F69)</f>
        <v>42.582555970149251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99501</v>
      </c>
      <c r="D73" s="19">
        <v>6433</v>
      </c>
      <c r="E73" s="19">
        <v>2806</v>
      </c>
      <c r="F73" s="19">
        <v>15236</v>
      </c>
      <c r="G73" s="19">
        <f>SUM(C73:F73)</f>
        <v>123976</v>
      </c>
    </row>
    <row r="74" spans="2:8" x14ac:dyDescent="0.25">
      <c r="B74" s="18" t="s">
        <v>47</v>
      </c>
      <c r="C74" s="19">
        <f>+C56+C68</f>
        <v>54052.101376999999</v>
      </c>
      <c r="D74" s="19">
        <v>7331.5562649999702</v>
      </c>
      <c r="E74" s="19">
        <v>3582</v>
      </c>
      <c r="F74" s="19">
        <v>23930</v>
      </c>
      <c r="G74" s="22">
        <f>SUM(C74:F74)</f>
        <v>88895.657641999976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1" t="s">
        <v>1</v>
      </c>
      <c r="C2" s="92"/>
      <c r="D2" s="92"/>
      <c r="E2" s="92"/>
      <c r="F2" s="9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0" t="s">
        <v>7</v>
      </c>
      <c r="B4" s="81"/>
      <c r="C4" s="81"/>
      <c r="D4" s="81"/>
      <c r="E4" s="81"/>
      <c r="F4" s="82"/>
    </row>
    <row r="5" spans="1:6" x14ac:dyDescent="0.25">
      <c r="A5" s="76" t="s">
        <v>8</v>
      </c>
      <c r="B5" s="77"/>
      <c r="C5" s="77"/>
      <c r="D5" s="77"/>
      <c r="E5" s="77"/>
      <c r="F5" s="78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71"/>
      <c r="B9" s="71"/>
      <c r="C9" s="71"/>
      <c r="D9" s="71"/>
      <c r="E9" s="71"/>
      <c r="F9" s="71"/>
    </row>
    <row r="10" spans="1:6" x14ac:dyDescent="0.25">
      <c r="A10" s="76" t="s">
        <v>12</v>
      </c>
      <c r="B10" s="77"/>
      <c r="C10" s="77"/>
      <c r="D10" s="77"/>
      <c r="E10" s="77"/>
      <c r="F10" s="78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71"/>
      <c r="B17" s="71"/>
      <c r="C17" s="71"/>
      <c r="D17" s="71"/>
      <c r="E17" s="71"/>
      <c r="F17" s="71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94"/>
      <c r="B20" s="94"/>
      <c r="C20" s="94"/>
      <c r="D20" s="94"/>
      <c r="E20" s="94"/>
      <c r="F20" s="94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71"/>
      <c r="B28" s="71"/>
      <c r="C28" s="71"/>
      <c r="D28" s="71"/>
      <c r="E28" s="71"/>
      <c r="F28" s="71"/>
      <c r="G28" s="71"/>
    </row>
    <row r="29" spans="1:7" x14ac:dyDescent="0.25">
      <c r="A29" s="76" t="s">
        <v>26</v>
      </c>
      <c r="B29" s="77"/>
      <c r="C29" s="77"/>
      <c r="D29" s="77"/>
      <c r="E29" s="77"/>
      <c r="F29" s="78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71"/>
      <c r="B31" s="71"/>
      <c r="C31" s="71"/>
      <c r="D31" s="71"/>
      <c r="E31" s="71"/>
      <c r="F31" s="71"/>
      <c r="G31" s="71"/>
    </row>
    <row r="32" spans="1:7" x14ac:dyDescent="0.25">
      <c r="A32" s="76" t="s">
        <v>28</v>
      </c>
      <c r="B32" s="77"/>
      <c r="C32" s="77"/>
      <c r="D32" s="77"/>
      <c r="E32" s="77"/>
      <c r="F32" s="78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87" t="s">
        <v>32</v>
      </c>
      <c r="B36" s="88"/>
      <c r="C36" s="88"/>
      <c r="D36" s="88"/>
      <c r="E36" s="88"/>
      <c r="F36" s="88"/>
      <c r="G36" s="8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80" t="s">
        <v>33</v>
      </c>
      <c r="B38" s="81"/>
      <c r="C38" s="81"/>
      <c r="D38" s="81"/>
      <c r="E38" s="81"/>
      <c r="F38" s="82"/>
    </row>
    <row r="39" spans="1:8" x14ac:dyDescent="0.25">
      <c r="A39" s="76" t="s">
        <v>34</v>
      </c>
      <c r="B39" s="77"/>
      <c r="C39" s="77"/>
      <c r="D39" s="77"/>
      <c r="E39" s="77"/>
      <c r="F39" s="78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71"/>
      <c r="B42" s="71"/>
      <c r="C42" s="71"/>
      <c r="D42" s="71"/>
      <c r="E42" s="71"/>
      <c r="F42" s="71"/>
      <c r="G42" s="71"/>
      <c r="H42" s="7"/>
    </row>
    <row r="43" spans="1:8" x14ac:dyDescent="0.25">
      <c r="A43" s="70" t="s">
        <v>37</v>
      </c>
      <c r="B43" s="70"/>
      <c r="C43" s="70"/>
      <c r="D43" s="70"/>
      <c r="E43" s="70"/>
      <c r="F43" s="70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71"/>
      <c r="B46" s="71"/>
      <c r="C46" s="71"/>
      <c r="D46" s="71"/>
      <c r="E46" s="71"/>
      <c r="F46" s="71"/>
      <c r="G46" s="71"/>
      <c r="H46" s="7"/>
    </row>
    <row r="47" spans="1:8" x14ac:dyDescent="0.25">
      <c r="A47" s="70" t="s">
        <v>40</v>
      </c>
      <c r="B47" s="70"/>
      <c r="C47" s="70"/>
      <c r="D47" s="70"/>
      <c r="E47" s="70"/>
      <c r="F47" s="70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71"/>
      <c r="B50" s="71"/>
      <c r="C50" s="71"/>
      <c r="D50" s="71"/>
      <c r="E50" s="71"/>
      <c r="F50" s="71"/>
      <c r="G50" s="71"/>
    </row>
    <row r="51" spans="1:8" ht="21" x14ac:dyDescent="0.35">
      <c r="A51" s="80" t="s">
        <v>43</v>
      </c>
      <c r="B51" s="81"/>
      <c r="C51" s="81"/>
      <c r="D51" s="81"/>
      <c r="E51" s="81"/>
      <c r="F51" s="82"/>
    </row>
    <row r="52" spans="1:8" x14ac:dyDescent="0.25">
      <c r="A52" s="90"/>
      <c r="B52" s="90"/>
      <c r="C52" s="90"/>
      <c r="D52" s="90"/>
      <c r="E52" s="90"/>
      <c r="F52" s="90"/>
      <c r="G52" s="90"/>
    </row>
    <row r="53" spans="1:8" x14ac:dyDescent="0.25">
      <c r="A53" s="70" t="s">
        <v>44</v>
      </c>
      <c r="B53" s="70"/>
      <c r="C53" s="70"/>
      <c r="D53" s="70"/>
      <c r="E53" s="70"/>
      <c r="F53" s="70"/>
    </row>
    <row r="54" spans="1:8" x14ac:dyDescent="0.25">
      <c r="A54" s="75" t="s">
        <v>45</v>
      </c>
      <c r="B54" s="75"/>
      <c r="C54" s="75"/>
      <c r="D54" s="75"/>
      <c r="E54" s="75"/>
      <c r="F54" s="75"/>
    </row>
    <row r="55" spans="1:8" x14ac:dyDescent="0.25">
      <c r="A55" s="14" t="s">
        <v>46</v>
      </c>
      <c r="B55" s="12">
        <v>96054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105956</v>
      </c>
    </row>
    <row r="56" spans="1:8" x14ac:dyDescent="0.25">
      <c r="A56" s="14" t="s">
        <v>47</v>
      </c>
      <c r="B56" s="12">
        <v>47196.530344999999</v>
      </c>
      <c r="C56" s="12">
        <v>7146.6286470000096</v>
      </c>
      <c r="D56" s="12">
        <v>1406</v>
      </c>
      <c r="E56" s="12">
        <v>9873</v>
      </c>
      <c r="F56" s="27">
        <f t="shared" si="0"/>
        <v>65622.158992000011</v>
      </c>
    </row>
    <row r="57" spans="1:8" x14ac:dyDescent="0.25">
      <c r="A57" s="14" t="s">
        <v>48</v>
      </c>
      <c r="B57" s="12">
        <v>10.144543694172</v>
      </c>
      <c r="C57" s="12">
        <v>38</v>
      </c>
      <c r="D57" s="12">
        <v>21</v>
      </c>
      <c r="E57" s="12">
        <v>30</v>
      </c>
      <c r="F57" s="27">
        <f>AVERAGE(B57:E57)</f>
        <v>24.786135923543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75" t="s">
        <v>51</v>
      </c>
      <c r="B60" s="75"/>
      <c r="C60" s="75"/>
      <c r="D60" s="75"/>
      <c r="E60" s="75"/>
      <c r="F60" s="7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5" t="s">
        <v>52</v>
      </c>
      <c r="B66" s="75"/>
      <c r="C66" s="75"/>
      <c r="D66" s="75"/>
      <c r="E66" s="75"/>
      <c r="F66" s="75"/>
    </row>
    <row r="67" spans="1:7" x14ac:dyDescent="0.25">
      <c r="A67" s="14" t="s">
        <v>46</v>
      </c>
      <c r="B67" s="12">
        <v>3607</v>
      </c>
      <c r="C67" s="12">
        <v>1564</v>
      </c>
      <c r="D67" s="12">
        <v>898</v>
      </c>
      <c r="E67" s="12">
        <v>11634</v>
      </c>
      <c r="F67" s="27">
        <f t="shared" si="0"/>
        <v>17703</v>
      </c>
    </row>
    <row r="68" spans="1:7" x14ac:dyDescent="0.25">
      <c r="A68" s="14" t="s">
        <v>47</v>
      </c>
      <c r="B68" s="12">
        <v>3112.1497920000002</v>
      </c>
      <c r="C68" s="12">
        <v>1570.2594690000001</v>
      </c>
      <c r="D68" s="12">
        <v>892</v>
      </c>
      <c r="E68" s="12">
        <v>15457</v>
      </c>
      <c r="F68" s="27">
        <f t="shared" si="0"/>
        <v>21031.409261000001</v>
      </c>
    </row>
    <row r="69" spans="1:7" x14ac:dyDescent="0.25">
      <c r="A69" s="14" t="s">
        <v>48</v>
      </c>
      <c r="B69" s="12">
        <v>32.565289714444098</v>
      </c>
      <c r="C69" s="12">
        <v>54</v>
      </c>
      <c r="D69" s="12">
        <v>49</v>
      </c>
      <c r="E69" s="12">
        <v>39</v>
      </c>
      <c r="F69" s="27">
        <f>AVERAGE(B69:E69)</f>
        <v>43.641322428611026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84" t="s">
        <v>53</v>
      </c>
      <c r="B72" s="85"/>
      <c r="C72" s="85"/>
      <c r="D72" s="85"/>
      <c r="E72" s="85"/>
      <c r="F72" s="86"/>
    </row>
    <row r="73" spans="1:7" x14ac:dyDescent="0.25">
      <c r="A73" s="18" t="s">
        <v>54</v>
      </c>
      <c r="B73" s="19">
        <f>+B55+B67</f>
        <v>99661</v>
      </c>
      <c r="C73" s="19">
        <v>6751</v>
      </c>
      <c r="D73" s="19">
        <v>1662</v>
      </c>
      <c r="E73" s="19">
        <v>15585</v>
      </c>
      <c r="F73" s="19">
        <f>SUM(B73:E73)</f>
        <v>123659</v>
      </c>
    </row>
    <row r="74" spans="1:7" x14ac:dyDescent="0.25">
      <c r="A74" s="18" t="s">
        <v>47</v>
      </c>
      <c r="B74" s="19">
        <f>+B56+B68</f>
        <v>50308.680137000003</v>
      </c>
      <c r="C74" s="19">
        <v>8716.8881160000092</v>
      </c>
      <c r="D74" s="19">
        <v>2298</v>
      </c>
      <c r="E74" s="19">
        <v>25330</v>
      </c>
      <c r="F74" s="22">
        <f>SUM(B74:E74)</f>
        <v>86653.568253000005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71"/>
      <c r="B78" s="71"/>
      <c r="C78" s="71"/>
      <c r="D78" s="71"/>
      <c r="E78" s="71"/>
      <c r="F78" s="71"/>
      <c r="G78" s="71"/>
    </row>
    <row r="79" spans="1:7" x14ac:dyDescent="0.25">
      <c r="A79" s="76" t="s">
        <v>55</v>
      </c>
      <c r="B79" s="77"/>
      <c r="C79" s="77"/>
      <c r="D79" s="77"/>
      <c r="E79" s="77"/>
      <c r="F79" s="78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84" t="s">
        <v>56</v>
      </c>
      <c r="B98" s="85"/>
      <c r="C98" s="85"/>
      <c r="D98" s="85"/>
      <c r="E98" s="85"/>
      <c r="F98" s="8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71"/>
      <c r="B104" s="71"/>
      <c r="C104" s="71"/>
      <c r="D104" s="71"/>
      <c r="E104" s="71"/>
      <c r="F104" s="71"/>
      <c r="G104" s="71"/>
    </row>
    <row r="105" spans="1:7" x14ac:dyDescent="0.25">
      <c r="A105" s="70" t="s">
        <v>57</v>
      </c>
      <c r="B105" s="70"/>
      <c r="C105" s="70"/>
      <c r="D105" s="70"/>
      <c r="E105" s="70"/>
      <c r="F105" s="70"/>
    </row>
    <row r="106" spans="1:7" x14ac:dyDescent="0.25">
      <c r="A106" s="75" t="s">
        <v>58</v>
      </c>
      <c r="B106" s="75"/>
      <c r="C106" s="75"/>
      <c r="D106" s="75"/>
      <c r="E106" s="75"/>
      <c r="F106" s="75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75" t="s">
        <v>62</v>
      </c>
      <c r="B110" s="75"/>
      <c r="C110" s="75"/>
      <c r="D110" s="75"/>
      <c r="E110" s="75"/>
      <c r="F110" s="75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71"/>
      <c r="B114" s="71"/>
      <c r="C114" s="71"/>
      <c r="D114" s="71"/>
      <c r="E114" s="71"/>
      <c r="F114" s="71"/>
      <c r="G114" s="71"/>
      <c r="H114" s="71"/>
    </row>
    <row r="115" spans="1:8" x14ac:dyDescent="0.25">
      <c r="A115" s="75" t="s">
        <v>63</v>
      </c>
      <c r="B115" s="75"/>
      <c r="C115" s="75"/>
      <c r="D115" s="75"/>
      <c r="E115" s="75"/>
      <c r="F115" s="75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71"/>
      <c r="B123" s="71"/>
      <c r="C123" s="71"/>
      <c r="D123" s="71"/>
      <c r="E123" s="71"/>
      <c r="F123" s="71"/>
      <c r="G123" s="71"/>
    </row>
    <row r="124" spans="1:8" x14ac:dyDescent="0.25">
      <c r="A124" s="76" t="s">
        <v>65</v>
      </c>
      <c r="B124" s="77"/>
      <c r="C124" s="77"/>
      <c r="D124" s="77"/>
      <c r="E124" s="77"/>
      <c r="F124" s="7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6" t="s">
        <v>67</v>
      </c>
      <c r="B126" s="77"/>
      <c r="C126" s="77"/>
      <c r="D126" s="77"/>
      <c r="E126" s="77"/>
      <c r="F126" s="78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0" t="s">
        <v>69</v>
      </c>
      <c r="B129" s="70"/>
      <c r="C129" s="70"/>
      <c r="D129" s="70"/>
      <c r="E129" s="70"/>
      <c r="F129" s="70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71"/>
      <c r="B132" s="71"/>
      <c r="C132" s="71"/>
      <c r="D132" s="71"/>
      <c r="E132" s="71"/>
      <c r="F132" s="71"/>
      <c r="G132" s="71"/>
    </row>
    <row r="133" spans="1:8" x14ac:dyDescent="0.25">
      <c r="A133" s="70" t="s">
        <v>72</v>
      </c>
      <c r="B133" s="70"/>
      <c r="C133" s="70"/>
      <c r="D133" s="70"/>
      <c r="E133" s="70"/>
      <c r="F133" s="70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71"/>
      <c r="B135" s="71"/>
      <c r="C135" s="71"/>
      <c r="D135" s="71"/>
      <c r="E135" s="71"/>
      <c r="F135" s="71"/>
      <c r="G135" s="71"/>
    </row>
    <row r="136" spans="1:8" ht="21" x14ac:dyDescent="0.35">
      <c r="A136" s="79" t="s">
        <v>74</v>
      </c>
      <c r="B136" s="79"/>
      <c r="C136" s="79"/>
      <c r="D136" s="79"/>
      <c r="E136" s="79"/>
      <c r="F136" s="79"/>
    </row>
    <row r="137" spans="1:8" x14ac:dyDescent="0.25">
      <c r="A137" s="70" t="s">
        <v>75</v>
      </c>
      <c r="B137" s="70"/>
      <c r="C137" s="70"/>
      <c r="D137" s="70"/>
      <c r="E137" s="70"/>
      <c r="F137" s="7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71"/>
      <c r="B140" s="71"/>
      <c r="C140" s="71"/>
      <c r="D140" s="71"/>
      <c r="E140" s="71"/>
      <c r="F140" s="71"/>
      <c r="G140" s="71"/>
      <c r="H140" s="7"/>
    </row>
    <row r="141" spans="1:8" x14ac:dyDescent="0.25">
      <c r="A141" s="71"/>
      <c r="B141" s="71"/>
      <c r="C141" s="71"/>
      <c r="D141" s="71"/>
      <c r="E141" s="71"/>
      <c r="F141" s="71"/>
      <c r="G141" s="71"/>
    </row>
    <row r="142" spans="1:8" ht="21" x14ac:dyDescent="0.35">
      <c r="A142" s="80" t="s">
        <v>78</v>
      </c>
      <c r="B142" s="81"/>
      <c r="C142" s="81"/>
      <c r="D142" s="81"/>
      <c r="E142" s="81"/>
      <c r="F142" s="82"/>
    </row>
    <row r="143" spans="1:8" x14ac:dyDescent="0.25">
      <c r="A143" s="76" t="s">
        <v>79</v>
      </c>
      <c r="B143" s="77"/>
      <c r="C143" s="77"/>
      <c r="D143" s="77"/>
      <c r="E143" s="77"/>
      <c r="F143" s="78"/>
    </row>
    <row r="144" spans="1:8" x14ac:dyDescent="0.25">
      <c r="A144" s="71"/>
      <c r="B144" s="71"/>
      <c r="C144" s="71"/>
      <c r="D144" s="71"/>
      <c r="E144" s="71"/>
      <c r="F144" s="71"/>
      <c r="G144" s="71"/>
    </row>
    <row r="145" spans="1:7" x14ac:dyDescent="0.25">
      <c r="A145" s="75" t="s">
        <v>80</v>
      </c>
      <c r="B145" s="75"/>
      <c r="C145" s="75"/>
      <c r="D145" s="75"/>
      <c r="E145" s="75"/>
      <c r="F145" s="75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71"/>
      <c r="B148" s="71"/>
      <c r="C148" s="71"/>
      <c r="D148" s="71"/>
      <c r="E148" s="71"/>
      <c r="F148" s="71"/>
      <c r="G148" s="71"/>
    </row>
    <row r="149" spans="1:7" x14ac:dyDescent="0.25">
      <c r="A149" s="75" t="s">
        <v>83</v>
      </c>
      <c r="B149" s="75"/>
      <c r="C149" s="75"/>
      <c r="D149" s="75"/>
      <c r="E149" s="75"/>
      <c r="F149" s="7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71"/>
      <c r="B152" s="71"/>
      <c r="C152" s="71"/>
      <c r="D152" s="71"/>
      <c r="E152" s="71"/>
      <c r="F152" s="71"/>
      <c r="G152" s="71"/>
    </row>
    <row r="153" spans="1:7" x14ac:dyDescent="0.25">
      <c r="A153" s="75" t="s">
        <v>86</v>
      </c>
      <c r="B153" s="75"/>
      <c r="C153" s="75"/>
      <c r="D153" s="75"/>
      <c r="E153" s="75"/>
      <c r="F153" s="75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71"/>
      <c r="B156" s="71"/>
      <c r="C156" s="71"/>
      <c r="D156" s="71"/>
      <c r="E156" s="71"/>
      <c r="F156" s="71"/>
      <c r="G156" s="71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71"/>
      <c r="B160" s="71"/>
      <c r="C160" s="71"/>
      <c r="D160" s="71"/>
      <c r="E160" s="71"/>
      <c r="F160" s="71"/>
      <c r="G160" s="71"/>
    </row>
    <row r="161" spans="1:7" x14ac:dyDescent="0.25">
      <c r="A161" s="70" t="s">
        <v>92</v>
      </c>
      <c r="B161" s="70"/>
      <c r="C161" s="70"/>
      <c r="D161" s="70"/>
      <c r="E161" s="70"/>
      <c r="F161" s="70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71"/>
      <c r="B164" s="71"/>
      <c r="C164" s="71"/>
      <c r="D164" s="71"/>
      <c r="E164" s="71"/>
      <c r="F164" s="71"/>
    </row>
    <row r="165" spans="1:7" x14ac:dyDescent="0.25">
      <c r="A165" s="76" t="s">
        <v>93</v>
      </c>
      <c r="B165" s="77"/>
      <c r="C165" s="77"/>
      <c r="D165" s="77"/>
      <c r="E165" s="77"/>
      <c r="F165" s="78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71"/>
      <c r="B169" s="71"/>
      <c r="C169" s="71"/>
      <c r="D169" s="71"/>
      <c r="E169" s="71"/>
      <c r="F169" s="71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71"/>
      <c r="B173" s="71"/>
      <c r="C173" s="71"/>
      <c r="D173" s="71"/>
      <c r="E173" s="71"/>
      <c r="F173" s="71"/>
      <c r="G173" s="71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71"/>
      <c r="B177" s="71"/>
      <c r="C177" s="71"/>
      <c r="D177" s="71"/>
      <c r="E177" s="71"/>
      <c r="F177" s="71"/>
      <c r="G177" s="71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71"/>
      <c r="B181" s="71"/>
      <c r="C181" s="71"/>
      <c r="D181" s="71"/>
      <c r="E181" s="71"/>
      <c r="F181" s="71"/>
      <c r="G181" s="71"/>
    </row>
    <row r="182" spans="1:7" x14ac:dyDescent="0.25">
      <c r="A182" s="70" t="s">
        <v>101</v>
      </c>
      <c r="B182" s="70"/>
      <c r="C182" s="70"/>
      <c r="D182" s="70"/>
      <c r="E182" s="70"/>
      <c r="F182" s="70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71"/>
      <c r="B185" s="71"/>
      <c r="C185" s="71"/>
      <c r="D185" s="71"/>
      <c r="E185" s="71"/>
      <c r="F185" s="71"/>
      <c r="G185" s="71"/>
    </row>
    <row r="186" spans="1:7" x14ac:dyDescent="0.25">
      <c r="A186" s="70" t="s">
        <v>104</v>
      </c>
      <c r="B186" s="70"/>
      <c r="C186" s="70"/>
      <c r="D186" s="70"/>
      <c r="E186" s="70"/>
      <c r="F186" s="70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71"/>
      <c r="B189" s="71"/>
      <c r="C189" s="71"/>
      <c r="D189" s="71"/>
      <c r="E189" s="71"/>
      <c r="F189" s="71"/>
      <c r="G189" s="71"/>
    </row>
    <row r="190" spans="1:7" x14ac:dyDescent="0.25">
      <c r="A190" s="70" t="s">
        <v>107</v>
      </c>
      <c r="B190" s="70"/>
      <c r="C190" s="70"/>
      <c r="D190" s="70"/>
      <c r="E190" s="70"/>
      <c r="F190" s="70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1" t="s">
        <v>1</v>
      </c>
      <c r="C2" s="92"/>
      <c r="D2" s="92"/>
      <c r="E2" s="92"/>
      <c r="F2" s="9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0" t="s">
        <v>7</v>
      </c>
      <c r="B4" s="81"/>
      <c r="C4" s="81"/>
      <c r="D4" s="81"/>
      <c r="E4" s="81"/>
      <c r="F4" s="82"/>
    </row>
    <row r="5" spans="1:6" x14ac:dyDescent="0.25">
      <c r="A5" s="76" t="s">
        <v>8</v>
      </c>
      <c r="B5" s="77"/>
      <c r="C5" s="77"/>
      <c r="D5" s="77"/>
      <c r="E5" s="77"/>
      <c r="F5" s="78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71"/>
      <c r="B9" s="71"/>
      <c r="C9" s="71"/>
      <c r="D9" s="71"/>
      <c r="E9" s="71"/>
      <c r="F9" s="71"/>
    </row>
    <row r="10" spans="1:6" x14ac:dyDescent="0.25">
      <c r="A10" s="76" t="s">
        <v>12</v>
      </c>
      <c r="B10" s="77"/>
      <c r="C10" s="77"/>
      <c r="D10" s="77"/>
      <c r="E10" s="77"/>
      <c r="F10" s="78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71"/>
      <c r="B17" s="71"/>
      <c r="C17" s="71"/>
      <c r="D17" s="71"/>
      <c r="E17" s="71"/>
      <c r="F17" s="71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94"/>
      <c r="B20" s="94"/>
      <c r="C20" s="94"/>
      <c r="D20" s="94"/>
      <c r="E20" s="94"/>
      <c r="F20" s="94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71"/>
      <c r="B28" s="71"/>
      <c r="C28" s="71"/>
      <c r="D28" s="71"/>
      <c r="E28" s="71"/>
      <c r="F28" s="71"/>
      <c r="G28" s="71"/>
    </row>
    <row r="29" spans="1:7" x14ac:dyDescent="0.25">
      <c r="A29" s="76" t="s">
        <v>26</v>
      </c>
      <c r="B29" s="77"/>
      <c r="C29" s="77"/>
      <c r="D29" s="77"/>
      <c r="E29" s="77"/>
      <c r="F29" s="78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71"/>
      <c r="B31" s="71"/>
      <c r="C31" s="71"/>
      <c r="D31" s="71"/>
      <c r="E31" s="71"/>
      <c r="F31" s="71"/>
      <c r="G31" s="71"/>
    </row>
    <row r="32" spans="1:7" x14ac:dyDescent="0.25">
      <c r="A32" s="76" t="s">
        <v>28</v>
      </c>
      <c r="B32" s="77"/>
      <c r="C32" s="77"/>
      <c r="D32" s="77"/>
      <c r="E32" s="77"/>
      <c r="F32" s="78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87" t="s">
        <v>32</v>
      </c>
      <c r="B36" s="88"/>
      <c r="C36" s="88"/>
      <c r="D36" s="88"/>
      <c r="E36" s="88"/>
      <c r="F36" s="88"/>
      <c r="G36" s="8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80" t="s">
        <v>33</v>
      </c>
      <c r="B38" s="81"/>
      <c r="C38" s="81"/>
      <c r="D38" s="81"/>
      <c r="E38" s="81"/>
      <c r="F38" s="82"/>
    </row>
    <row r="39" spans="1:8" x14ac:dyDescent="0.25">
      <c r="A39" s="76" t="s">
        <v>34</v>
      </c>
      <c r="B39" s="77"/>
      <c r="C39" s="77"/>
      <c r="D39" s="77"/>
      <c r="E39" s="77"/>
      <c r="F39" s="78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71"/>
      <c r="B42" s="71"/>
      <c r="C42" s="71"/>
      <c r="D42" s="71"/>
      <c r="E42" s="71"/>
      <c r="F42" s="71"/>
      <c r="G42" s="71"/>
      <c r="H42" s="7"/>
    </row>
    <row r="43" spans="1:8" x14ac:dyDescent="0.25">
      <c r="A43" s="70" t="s">
        <v>37</v>
      </c>
      <c r="B43" s="70"/>
      <c r="C43" s="70"/>
      <c r="D43" s="70"/>
      <c r="E43" s="70"/>
      <c r="F43" s="70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71"/>
      <c r="B46" s="71"/>
      <c r="C46" s="71"/>
      <c r="D46" s="71"/>
      <c r="E46" s="71"/>
      <c r="F46" s="71"/>
      <c r="G46" s="71"/>
      <c r="H46" s="7"/>
    </row>
    <row r="47" spans="1:8" x14ac:dyDescent="0.25">
      <c r="A47" s="70" t="s">
        <v>40</v>
      </c>
      <c r="B47" s="70"/>
      <c r="C47" s="70"/>
      <c r="D47" s="70"/>
      <c r="E47" s="70"/>
      <c r="F47" s="70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71"/>
      <c r="B50" s="71"/>
      <c r="C50" s="71"/>
      <c r="D50" s="71"/>
      <c r="E50" s="71"/>
      <c r="F50" s="71"/>
      <c r="G50" s="71"/>
    </row>
    <row r="51" spans="1:8" ht="21" x14ac:dyDescent="0.35">
      <c r="A51" s="80" t="s">
        <v>43</v>
      </c>
      <c r="B51" s="81"/>
      <c r="C51" s="81"/>
      <c r="D51" s="81"/>
      <c r="E51" s="81"/>
      <c r="F51" s="82"/>
    </row>
    <row r="52" spans="1:8" x14ac:dyDescent="0.25">
      <c r="A52" s="90"/>
      <c r="B52" s="90"/>
      <c r="C52" s="90"/>
      <c r="D52" s="90"/>
      <c r="E52" s="90"/>
      <c r="F52" s="90"/>
      <c r="G52" s="90"/>
    </row>
    <row r="53" spans="1:8" x14ac:dyDescent="0.25">
      <c r="A53" s="70" t="s">
        <v>44</v>
      </c>
      <c r="B53" s="70"/>
      <c r="C53" s="70"/>
      <c r="D53" s="70"/>
      <c r="E53" s="70"/>
      <c r="F53" s="70"/>
    </row>
    <row r="54" spans="1:8" x14ac:dyDescent="0.25">
      <c r="A54" s="75" t="s">
        <v>45</v>
      </c>
      <c r="B54" s="75"/>
      <c r="C54" s="75"/>
      <c r="D54" s="75"/>
      <c r="E54" s="75"/>
      <c r="F54" s="75"/>
    </row>
    <row r="55" spans="1:8" x14ac:dyDescent="0.25">
      <c r="A55" s="14" t="s">
        <v>46</v>
      </c>
      <c r="B55" s="27">
        <v>105974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116936</v>
      </c>
    </row>
    <row r="56" spans="1:8" x14ac:dyDescent="0.25">
      <c r="A56" s="14" t="s">
        <v>47</v>
      </c>
      <c r="B56" s="27">
        <v>54259.514990999996</v>
      </c>
      <c r="C56" s="27">
        <v>7719.4234740000002</v>
      </c>
      <c r="D56" s="27">
        <v>1946.698956</v>
      </c>
      <c r="E56" s="27">
        <v>9573</v>
      </c>
      <c r="F56" s="27">
        <f t="shared" si="0"/>
        <v>73498.637420999992</v>
      </c>
    </row>
    <row r="57" spans="1:8" x14ac:dyDescent="0.25">
      <c r="A57" s="14" t="s">
        <v>48</v>
      </c>
      <c r="B57" s="27">
        <v>10.421235397361601</v>
      </c>
      <c r="C57" s="27">
        <v>38</v>
      </c>
      <c r="D57" s="27">
        <v>20.426459719142645</v>
      </c>
      <c r="E57" s="27">
        <v>28</v>
      </c>
      <c r="F57" s="27">
        <f>AVERAGE(B57:E57)</f>
        <v>24.21192377912606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75" t="s">
        <v>51</v>
      </c>
      <c r="B60" s="75"/>
      <c r="C60" s="75"/>
      <c r="D60" s="75"/>
      <c r="E60" s="75"/>
      <c r="F60" s="7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5" t="s">
        <v>52</v>
      </c>
      <c r="B66" s="75"/>
      <c r="C66" s="75"/>
      <c r="D66" s="75"/>
      <c r="E66" s="75"/>
      <c r="F66" s="75"/>
    </row>
    <row r="67" spans="1:7" x14ac:dyDescent="0.25">
      <c r="A67" s="14" t="s">
        <v>46</v>
      </c>
      <c r="B67" s="27">
        <v>3859</v>
      </c>
      <c r="C67" s="27">
        <v>1566</v>
      </c>
      <c r="D67" s="27">
        <v>1400</v>
      </c>
      <c r="E67" s="27">
        <v>11665</v>
      </c>
      <c r="F67" s="27">
        <f t="shared" si="0"/>
        <v>18490</v>
      </c>
    </row>
    <row r="68" spans="1:7" x14ac:dyDescent="0.25">
      <c r="A68" s="14" t="s">
        <v>47</v>
      </c>
      <c r="B68" s="27">
        <v>3331.5521309999999</v>
      </c>
      <c r="C68" s="27">
        <v>1563.695778</v>
      </c>
      <c r="D68" s="27">
        <v>1783.829898</v>
      </c>
      <c r="E68" s="27">
        <v>15126</v>
      </c>
      <c r="F68" s="27">
        <f t="shared" si="0"/>
        <v>21805.077807000001</v>
      </c>
    </row>
    <row r="69" spans="1:7" x14ac:dyDescent="0.25">
      <c r="A69" s="14" t="s">
        <v>48</v>
      </c>
      <c r="B69" s="27">
        <v>32.825861622181897</v>
      </c>
      <c r="C69" s="27">
        <v>54</v>
      </c>
      <c r="D69" s="27">
        <v>50.449285714285715</v>
      </c>
      <c r="E69" s="27">
        <v>39</v>
      </c>
      <c r="F69" s="27">
        <f>AVERAGE(B69:E69)</f>
        <v>44.068786834116899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84" t="s">
        <v>53</v>
      </c>
      <c r="B72" s="85"/>
      <c r="C72" s="85"/>
      <c r="D72" s="85"/>
      <c r="E72" s="85"/>
      <c r="F72" s="86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71"/>
      <c r="B78" s="71"/>
      <c r="C78" s="71"/>
      <c r="D78" s="71"/>
      <c r="E78" s="71"/>
      <c r="F78" s="71"/>
      <c r="G78" s="71"/>
    </row>
    <row r="79" spans="1:7" x14ac:dyDescent="0.25">
      <c r="A79" s="76" t="s">
        <v>55</v>
      </c>
      <c r="B79" s="77"/>
      <c r="C79" s="77"/>
      <c r="D79" s="77"/>
      <c r="E79" s="77"/>
      <c r="F79" s="78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84" t="s">
        <v>56</v>
      </c>
      <c r="B98" s="85"/>
      <c r="C98" s="85"/>
      <c r="D98" s="85"/>
      <c r="E98" s="85"/>
      <c r="F98" s="8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71"/>
      <c r="B104" s="71"/>
      <c r="C104" s="71"/>
      <c r="D104" s="71"/>
      <c r="E104" s="71"/>
      <c r="F104" s="71"/>
      <c r="G104" s="71"/>
    </row>
    <row r="105" spans="1:7" x14ac:dyDescent="0.25">
      <c r="A105" s="70" t="s">
        <v>57</v>
      </c>
      <c r="B105" s="70"/>
      <c r="C105" s="70"/>
      <c r="D105" s="70"/>
      <c r="E105" s="70"/>
      <c r="F105" s="70"/>
    </row>
    <row r="106" spans="1:7" x14ac:dyDescent="0.25">
      <c r="A106" s="75" t="s">
        <v>58</v>
      </c>
      <c r="B106" s="75"/>
      <c r="C106" s="75"/>
      <c r="D106" s="75"/>
      <c r="E106" s="75"/>
      <c r="F106" s="75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75" t="s">
        <v>62</v>
      </c>
      <c r="B110" s="75"/>
      <c r="C110" s="75"/>
      <c r="D110" s="75"/>
      <c r="E110" s="75"/>
      <c r="F110" s="75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71"/>
      <c r="B114" s="71"/>
      <c r="C114" s="71"/>
      <c r="D114" s="71"/>
      <c r="E114" s="71"/>
      <c r="F114" s="71"/>
      <c r="G114" s="71"/>
      <c r="H114" s="71"/>
    </row>
    <row r="115" spans="1:8" x14ac:dyDescent="0.25">
      <c r="A115" s="75" t="s">
        <v>63</v>
      </c>
      <c r="B115" s="75"/>
      <c r="C115" s="75"/>
      <c r="D115" s="75"/>
      <c r="E115" s="75"/>
      <c r="F115" s="75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71"/>
      <c r="B123" s="71"/>
      <c r="C123" s="71"/>
      <c r="D123" s="71"/>
      <c r="E123" s="71"/>
      <c r="F123" s="71"/>
      <c r="G123" s="71"/>
    </row>
    <row r="124" spans="1:8" x14ac:dyDescent="0.25">
      <c r="A124" s="76" t="s">
        <v>65</v>
      </c>
      <c r="B124" s="77"/>
      <c r="C124" s="77"/>
      <c r="D124" s="77"/>
      <c r="E124" s="77"/>
      <c r="F124" s="7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6" t="s">
        <v>67</v>
      </c>
      <c r="B126" s="77"/>
      <c r="C126" s="77"/>
      <c r="D126" s="77"/>
      <c r="E126" s="77"/>
      <c r="F126" s="78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0" t="s">
        <v>69</v>
      </c>
      <c r="B129" s="70"/>
      <c r="C129" s="70"/>
      <c r="D129" s="70"/>
      <c r="E129" s="70"/>
      <c r="F129" s="70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71"/>
      <c r="B132" s="71"/>
      <c r="C132" s="71"/>
      <c r="D132" s="71"/>
      <c r="E132" s="71"/>
      <c r="F132" s="71"/>
      <c r="G132" s="71"/>
    </row>
    <row r="133" spans="1:8" x14ac:dyDescent="0.25">
      <c r="A133" s="70" t="s">
        <v>72</v>
      </c>
      <c r="B133" s="70"/>
      <c r="C133" s="70"/>
      <c r="D133" s="70"/>
      <c r="E133" s="70"/>
      <c r="F133" s="70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71"/>
      <c r="B135" s="71"/>
      <c r="C135" s="71"/>
      <c r="D135" s="71"/>
      <c r="E135" s="71"/>
      <c r="F135" s="71"/>
      <c r="G135" s="71"/>
    </row>
    <row r="136" spans="1:8" ht="21" x14ac:dyDescent="0.35">
      <c r="A136" s="79" t="s">
        <v>74</v>
      </c>
      <c r="B136" s="79"/>
      <c r="C136" s="79"/>
      <c r="D136" s="79"/>
      <c r="E136" s="79"/>
      <c r="F136" s="79"/>
    </row>
    <row r="137" spans="1:8" x14ac:dyDescent="0.25">
      <c r="A137" s="70" t="s">
        <v>75</v>
      </c>
      <c r="B137" s="70"/>
      <c r="C137" s="70"/>
      <c r="D137" s="70"/>
      <c r="E137" s="70"/>
      <c r="F137" s="7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71"/>
      <c r="B140" s="71"/>
      <c r="C140" s="71"/>
      <c r="D140" s="71"/>
      <c r="E140" s="71"/>
      <c r="F140" s="71"/>
      <c r="G140" s="71"/>
      <c r="H140" s="7"/>
    </row>
    <row r="141" spans="1:8" x14ac:dyDescent="0.25">
      <c r="A141" s="71"/>
      <c r="B141" s="71"/>
      <c r="C141" s="71"/>
      <c r="D141" s="71"/>
      <c r="E141" s="71"/>
      <c r="F141" s="71"/>
      <c r="G141" s="71"/>
    </row>
    <row r="142" spans="1:8" ht="21" x14ac:dyDescent="0.35">
      <c r="A142" s="80" t="s">
        <v>78</v>
      </c>
      <c r="B142" s="81"/>
      <c r="C142" s="81"/>
      <c r="D142" s="81"/>
      <c r="E142" s="81"/>
      <c r="F142" s="82"/>
    </row>
    <row r="143" spans="1:8" x14ac:dyDescent="0.25">
      <c r="A143" s="76" t="s">
        <v>79</v>
      </c>
      <c r="B143" s="77"/>
      <c r="C143" s="77"/>
      <c r="D143" s="77"/>
      <c r="E143" s="77"/>
      <c r="F143" s="78"/>
    </row>
    <row r="144" spans="1:8" x14ac:dyDescent="0.25">
      <c r="A144" s="71"/>
      <c r="B144" s="71"/>
      <c r="C144" s="71"/>
      <c r="D144" s="71"/>
      <c r="E144" s="71"/>
      <c r="F144" s="71"/>
      <c r="G144" s="71"/>
    </row>
    <row r="145" spans="1:7" x14ac:dyDescent="0.25">
      <c r="A145" s="75" t="s">
        <v>80</v>
      </c>
      <c r="B145" s="75"/>
      <c r="C145" s="75"/>
      <c r="D145" s="75"/>
      <c r="E145" s="75"/>
      <c r="F145" s="75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71"/>
      <c r="B148" s="71"/>
      <c r="C148" s="71"/>
      <c r="D148" s="71"/>
      <c r="E148" s="71"/>
      <c r="F148" s="71"/>
      <c r="G148" s="71"/>
    </row>
    <row r="149" spans="1:7" x14ac:dyDescent="0.25">
      <c r="A149" s="75" t="s">
        <v>83</v>
      </c>
      <c r="B149" s="75"/>
      <c r="C149" s="75"/>
      <c r="D149" s="75"/>
      <c r="E149" s="75"/>
      <c r="F149" s="7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71"/>
      <c r="B152" s="71"/>
      <c r="C152" s="71"/>
      <c r="D152" s="71"/>
      <c r="E152" s="71"/>
      <c r="F152" s="71"/>
      <c r="G152" s="71"/>
    </row>
    <row r="153" spans="1:7" x14ac:dyDescent="0.25">
      <c r="A153" s="75" t="s">
        <v>86</v>
      </c>
      <c r="B153" s="75"/>
      <c r="C153" s="75"/>
      <c r="D153" s="75"/>
      <c r="E153" s="75"/>
      <c r="F153" s="75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71"/>
      <c r="B156" s="71"/>
      <c r="C156" s="71"/>
      <c r="D156" s="71"/>
      <c r="E156" s="71"/>
      <c r="F156" s="71"/>
      <c r="G156" s="71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71"/>
      <c r="B160" s="71"/>
      <c r="C160" s="71"/>
      <c r="D160" s="71"/>
      <c r="E160" s="71"/>
      <c r="F160" s="71"/>
      <c r="G160" s="71"/>
    </row>
    <row r="161" spans="1:7" x14ac:dyDescent="0.25">
      <c r="A161" s="70" t="s">
        <v>92</v>
      </c>
      <c r="B161" s="70"/>
      <c r="C161" s="70"/>
      <c r="D161" s="70"/>
      <c r="E161" s="70"/>
      <c r="F161" s="70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71"/>
      <c r="B164" s="71"/>
      <c r="C164" s="71"/>
      <c r="D164" s="71"/>
      <c r="E164" s="71"/>
      <c r="F164" s="71"/>
    </row>
    <row r="165" spans="1:7" x14ac:dyDescent="0.25">
      <c r="A165" s="76" t="s">
        <v>93</v>
      </c>
      <c r="B165" s="77"/>
      <c r="C165" s="77"/>
      <c r="D165" s="77"/>
      <c r="E165" s="77"/>
      <c r="F165" s="78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71"/>
      <c r="B169" s="71"/>
      <c r="C169" s="71"/>
      <c r="D169" s="71"/>
      <c r="E169" s="71"/>
      <c r="F169" s="71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71"/>
      <c r="B173" s="71"/>
      <c r="C173" s="71"/>
      <c r="D173" s="71"/>
      <c r="E173" s="71"/>
      <c r="F173" s="71"/>
      <c r="G173" s="71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71"/>
      <c r="B177" s="71"/>
      <c r="C177" s="71"/>
      <c r="D177" s="71"/>
      <c r="E177" s="71"/>
      <c r="F177" s="71"/>
      <c r="G177" s="71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71"/>
      <c r="B181" s="71"/>
      <c r="C181" s="71"/>
      <c r="D181" s="71"/>
      <c r="E181" s="71"/>
      <c r="F181" s="71"/>
      <c r="G181" s="71"/>
    </row>
    <row r="182" spans="1:7" x14ac:dyDescent="0.25">
      <c r="A182" s="70" t="s">
        <v>101</v>
      </c>
      <c r="B182" s="70"/>
      <c r="C182" s="70"/>
      <c r="D182" s="70"/>
      <c r="E182" s="70"/>
      <c r="F182" s="70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71"/>
      <c r="B185" s="71"/>
      <c r="C185" s="71"/>
      <c r="D185" s="71"/>
      <c r="E185" s="71"/>
      <c r="F185" s="71"/>
      <c r="G185" s="71"/>
    </row>
    <row r="186" spans="1:7" x14ac:dyDescent="0.25">
      <c r="A186" s="70" t="s">
        <v>104</v>
      </c>
      <c r="B186" s="70"/>
      <c r="C186" s="70"/>
      <c r="D186" s="70"/>
      <c r="E186" s="70"/>
      <c r="F186" s="70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71"/>
      <c r="B189" s="71"/>
      <c r="C189" s="71"/>
      <c r="D189" s="71"/>
      <c r="E189" s="71"/>
      <c r="F189" s="71"/>
      <c r="G189" s="71"/>
    </row>
    <row r="190" spans="1:7" x14ac:dyDescent="0.25">
      <c r="A190" s="70" t="s">
        <v>107</v>
      </c>
      <c r="B190" s="70"/>
      <c r="C190" s="70"/>
      <c r="D190" s="70"/>
      <c r="E190" s="70"/>
      <c r="F190" s="70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96"/>
  <sheetViews>
    <sheetView zoomScaleNormal="100" workbookViewId="0">
      <selection activeCell="E13" sqref="E13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1" t="s">
        <v>1</v>
      </c>
      <c r="C2" s="92"/>
      <c r="D2" s="92"/>
      <c r="E2" s="92"/>
      <c r="F2" s="93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0" t="s">
        <v>7</v>
      </c>
      <c r="B4" s="81"/>
      <c r="C4" s="81"/>
      <c r="D4" s="81"/>
      <c r="E4" s="81"/>
      <c r="F4" s="82"/>
    </row>
    <row r="5" spans="1:6" x14ac:dyDescent="0.25">
      <c r="A5" s="76" t="s">
        <v>8</v>
      </c>
      <c r="B5" s="77"/>
      <c r="C5" s="77"/>
      <c r="D5" s="77"/>
      <c r="E5" s="77"/>
      <c r="F5" s="78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71"/>
      <c r="B9" s="71"/>
      <c r="C9" s="71"/>
      <c r="D9" s="71"/>
      <c r="E9" s="71"/>
      <c r="F9" s="71"/>
    </row>
    <row r="10" spans="1:6" x14ac:dyDescent="0.25">
      <c r="A10" s="76" t="s">
        <v>12</v>
      </c>
      <c r="B10" s="77"/>
      <c r="C10" s="77"/>
      <c r="D10" s="77"/>
      <c r="E10" s="77"/>
      <c r="F10" s="78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71"/>
      <c r="B17" s="71"/>
      <c r="C17" s="71"/>
      <c r="D17" s="71"/>
      <c r="E17" s="71"/>
      <c r="F17" s="71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94"/>
      <c r="B20" s="94"/>
      <c r="C20" s="94"/>
      <c r="D20" s="94"/>
      <c r="E20" s="94"/>
      <c r="F20" s="94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71"/>
      <c r="B28" s="71"/>
      <c r="C28" s="71"/>
      <c r="D28" s="71"/>
      <c r="E28" s="71"/>
      <c r="F28" s="71"/>
      <c r="G28" s="71"/>
    </row>
    <row r="29" spans="1:7" x14ac:dyDescent="0.25">
      <c r="A29" s="76" t="s">
        <v>26</v>
      </c>
      <c r="B29" s="77"/>
      <c r="C29" s="77"/>
      <c r="D29" s="77"/>
      <c r="E29" s="77"/>
      <c r="F29" s="78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71"/>
      <c r="B31" s="71"/>
      <c r="C31" s="71"/>
      <c r="D31" s="71"/>
      <c r="E31" s="71"/>
      <c r="F31" s="71"/>
      <c r="G31" s="71"/>
    </row>
    <row r="32" spans="1:7" x14ac:dyDescent="0.25">
      <c r="A32" s="76" t="s">
        <v>28</v>
      </c>
      <c r="B32" s="77"/>
      <c r="C32" s="77"/>
      <c r="D32" s="77"/>
      <c r="E32" s="77"/>
      <c r="F32" s="78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87" t="s">
        <v>32</v>
      </c>
      <c r="B36" s="88"/>
      <c r="C36" s="88"/>
      <c r="D36" s="88"/>
      <c r="E36" s="88"/>
      <c r="F36" s="88"/>
      <c r="G36" s="8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80" t="s">
        <v>33</v>
      </c>
      <c r="B38" s="81"/>
      <c r="C38" s="81"/>
      <c r="D38" s="81"/>
      <c r="E38" s="81"/>
      <c r="F38" s="82"/>
    </row>
    <row r="39" spans="1:8" x14ac:dyDescent="0.25">
      <c r="A39" s="76" t="s">
        <v>34</v>
      </c>
      <c r="B39" s="77"/>
      <c r="C39" s="77"/>
      <c r="D39" s="77"/>
      <c r="E39" s="77"/>
      <c r="F39" s="78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71"/>
      <c r="B42" s="71"/>
      <c r="C42" s="71"/>
      <c r="D42" s="71"/>
      <c r="E42" s="71"/>
      <c r="F42" s="71"/>
      <c r="G42" s="71"/>
      <c r="H42" s="7"/>
    </row>
    <row r="43" spans="1:8" x14ac:dyDescent="0.25">
      <c r="A43" s="70" t="s">
        <v>37</v>
      </c>
      <c r="B43" s="70"/>
      <c r="C43" s="70"/>
      <c r="D43" s="70"/>
      <c r="E43" s="70"/>
      <c r="F43" s="70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71"/>
      <c r="B46" s="71"/>
      <c r="C46" s="71"/>
      <c r="D46" s="71"/>
      <c r="E46" s="71"/>
      <c r="F46" s="71"/>
      <c r="G46" s="71"/>
      <c r="H46" s="7"/>
    </row>
    <row r="47" spans="1:8" x14ac:dyDescent="0.25">
      <c r="A47" s="70" t="s">
        <v>40</v>
      </c>
      <c r="B47" s="70"/>
      <c r="C47" s="70"/>
      <c r="D47" s="70"/>
      <c r="E47" s="70"/>
      <c r="F47" s="70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71"/>
      <c r="B50" s="71"/>
      <c r="C50" s="71"/>
      <c r="D50" s="71"/>
      <c r="E50" s="71"/>
      <c r="F50" s="71"/>
      <c r="G50" s="71"/>
    </row>
    <row r="51" spans="1:8" ht="21" x14ac:dyDescent="0.35">
      <c r="A51" s="80" t="s">
        <v>43</v>
      </c>
      <c r="B51" s="81"/>
      <c r="C51" s="81"/>
      <c r="D51" s="81"/>
      <c r="E51" s="81"/>
      <c r="F51" s="82"/>
    </row>
    <row r="52" spans="1:8" x14ac:dyDescent="0.25">
      <c r="A52" s="90"/>
      <c r="B52" s="90"/>
      <c r="C52" s="90"/>
      <c r="D52" s="90"/>
      <c r="E52" s="90"/>
      <c r="F52" s="90"/>
      <c r="G52" s="90"/>
    </row>
    <row r="53" spans="1:8" x14ac:dyDescent="0.25">
      <c r="A53" s="70" t="s">
        <v>44</v>
      </c>
      <c r="B53" s="70"/>
      <c r="C53" s="70"/>
      <c r="D53" s="70"/>
      <c r="E53" s="70"/>
      <c r="F53" s="70"/>
    </row>
    <row r="54" spans="1:8" x14ac:dyDescent="0.25">
      <c r="A54" s="75" t="s">
        <v>45</v>
      </c>
      <c r="B54" s="75"/>
      <c r="C54" s="75"/>
      <c r="D54" s="75"/>
      <c r="E54" s="75"/>
      <c r="F54" s="75"/>
    </row>
    <row r="55" spans="1:8" x14ac:dyDescent="0.25">
      <c r="A55" s="14" t="s">
        <v>46</v>
      </c>
      <c r="B55" s="27">
        <v>104274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114718</v>
      </c>
    </row>
    <row r="56" spans="1:8" x14ac:dyDescent="0.25">
      <c r="A56" s="14" t="s">
        <v>47</v>
      </c>
      <c r="B56" s="27">
        <v>54396.499575000002</v>
      </c>
      <c r="C56" s="27">
        <v>7069.5792759999804</v>
      </c>
      <c r="D56" s="27">
        <v>1938.738699</v>
      </c>
      <c r="E56" s="27">
        <v>9362</v>
      </c>
      <c r="F56" s="27">
        <f t="shared" si="0"/>
        <v>72766.817549999978</v>
      </c>
    </row>
    <row r="57" spans="1:8" x14ac:dyDescent="0.25">
      <c r="A57" s="14" t="s">
        <v>48</v>
      </c>
      <c r="B57" s="27">
        <v>10.523537542957</v>
      </c>
      <c r="C57" s="27">
        <v>38</v>
      </c>
      <c r="D57" s="27">
        <v>21.198127925117003</v>
      </c>
      <c r="E57" s="27">
        <v>27</v>
      </c>
      <c r="F57" s="27">
        <f>AVERAGE(B57:E57)</f>
        <v>24.180416367018502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75" t="s">
        <v>51</v>
      </c>
      <c r="B60" s="75"/>
      <c r="C60" s="75"/>
      <c r="D60" s="75"/>
      <c r="E60" s="75"/>
      <c r="F60" s="75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75" t="s">
        <v>52</v>
      </c>
      <c r="B66" s="75"/>
      <c r="C66" s="75"/>
      <c r="D66" s="75"/>
      <c r="E66" s="75"/>
      <c r="F66" s="75"/>
    </row>
    <row r="67" spans="1:7" x14ac:dyDescent="0.25">
      <c r="A67" s="14" t="s">
        <v>46</v>
      </c>
      <c r="B67" s="27">
        <v>3291</v>
      </c>
      <c r="C67" s="27">
        <v>1463</v>
      </c>
      <c r="D67" s="27">
        <v>1482</v>
      </c>
      <c r="E67" s="27">
        <v>9794</v>
      </c>
      <c r="F67" s="27">
        <f t="shared" si="0"/>
        <v>16030</v>
      </c>
    </row>
    <row r="68" spans="1:7" x14ac:dyDescent="0.25">
      <c r="A68" s="14" t="s">
        <v>47</v>
      </c>
      <c r="B68" s="27">
        <v>2796.0224600000001</v>
      </c>
      <c r="C68" s="27">
        <v>1619.635125</v>
      </c>
      <c r="D68" s="27">
        <v>1731.2255090000001</v>
      </c>
      <c r="E68" s="27">
        <v>12269</v>
      </c>
      <c r="F68" s="27">
        <f t="shared" si="0"/>
        <v>18415.883094000001</v>
      </c>
    </row>
    <row r="69" spans="1:7" x14ac:dyDescent="0.25">
      <c r="A69" s="14" t="s">
        <v>48</v>
      </c>
      <c r="B69" s="27">
        <v>33.031163221227999</v>
      </c>
      <c r="C69" s="27">
        <v>54</v>
      </c>
      <c r="D69" s="27">
        <v>50.521592442645073</v>
      </c>
      <c r="E69" s="27">
        <v>38</v>
      </c>
      <c r="F69" s="27">
        <f>AVERAGE(B69:E69)</f>
        <v>43.888188915968271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84" t="s">
        <v>53</v>
      </c>
      <c r="B72" s="85"/>
      <c r="C72" s="85"/>
      <c r="D72" s="85"/>
      <c r="E72" s="85"/>
      <c r="F72" s="86"/>
    </row>
    <row r="73" spans="1:7" x14ac:dyDescent="0.25">
      <c r="A73" s="18" t="s">
        <v>54</v>
      </c>
      <c r="B73" s="19">
        <f>+B55+B67</f>
        <v>107565</v>
      </c>
      <c r="C73" s="19">
        <v>6413</v>
      </c>
      <c r="D73" s="19">
        <v>2764</v>
      </c>
      <c r="E73" s="19">
        <v>14006</v>
      </c>
      <c r="F73" s="19">
        <f>SUM(B73:E73)</f>
        <v>130748</v>
      </c>
    </row>
    <row r="74" spans="1:7" x14ac:dyDescent="0.25">
      <c r="A74" s="18" t="s">
        <v>47</v>
      </c>
      <c r="B74" s="19">
        <f>+B56+B68</f>
        <v>57192.522035000002</v>
      </c>
      <c r="C74" s="19">
        <v>8689.2144009999811</v>
      </c>
      <c r="D74" s="19">
        <v>3669.9642080000003</v>
      </c>
      <c r="E74" s="19">
        <v>21631</v>
      </c>
      <c r="F74" s="22">
        <f>SUM(B74:E74)</f>
        <v>91182.700643999982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71"/>
      <c r="B78" s="71"/>
      <c r="C78" s="71"/>
      <c r="D78" s="71"/>
      <c r="E78" s="71"/>
      <c r="F78" s="71"/>
      <c r="G78" s="71"/>
    </row>
    <row r="79" spans="1:7" x14ac:dyDescent="0.25">
      <c r="A79" s="76" t="s">
        <v>55</v>
      </c>
      <c r="B79" s="77"/>
      <c r="C79" s="77"/>
      <c r="D79" s="77"/>
      <c r="E79" s="77"/>
      <c r="F79" s="78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84" t="s">
        <v>56</v>
      </c>
      <c r="B98" s="85"/>
      <c r="C98" s="85"/>
      <c r="D98" s="85"/>
      <c r="E98" s="85"/>
      <c r="F98" s="86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71"/>
      <c r="B104" s="71"/>
      <c r="C104" s="71"/>
      <c r="D104" s="71"/>
      <c r="E104" s="71"/>
      <c r="F104" s="71"/>
      <c r="G104" s="71"/>
    </row>
    <row r="105" spans="1:7" x14ac:dyDescent="0.25">
      <c r="A105" s="70" t="s">
        <v>57</v>
      </c>
      <c r="B105" s="70"/>
      <c r="C105" s="70"/>
      <c r="D105" s="70"/>
      <c r="E105" s="70"/>
      <c r="F105" s="70"/>
    </row>
    <row r="106" spans="1:7" x14ac:dyDescent="0.25">
      <c r="A106" s="75" t="s">
        <v>58</v>
      </c>
      <c r="B106" s="75"/>
      <c r="C106" s="75"/>
      <c r="D106" s="75"/>
      <c r="E106" s="75"/>
      <c r="F106" s="75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75" t="s">
        <v>62</v>
      </c>
      <c r="B110" s="75"/>
      <c r="C110" s="75"/>
      <c r="D110" s="75"/>
      <c r="E110" s="75"/>
      <c r="F110" s="75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71"/>
      <c r="B114" s="71"/>
      <c r="C114" s="71"/>
      <c r="D114" s="71"/>
      <c r="E114" s="71"/>
      <c r="F114" s="71"/>
      <c r="G114" s="71"/>
      <c r="H114" s="71"/>
    </row>
    <row r="115" spans="1:8" x14ac:dyDescent="0.25">
      <c r="A115" s="75" t="s">
        <v>63</v>
      </c>
      <c r="B115" s="75"/>
      <c r="C115" s="75"/>
      <c r="D115" s="75"/>
      <c r="E115" s="75"/>
      <c r="F115" s="75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71"/>
      <c r="B123" s="71"/>
      <c r="C123" s="71"/>
      <c r="D123" s="71"/>
      <c r="E123" s="71"/>
      <c r="F123" s="71"/>
      <c r="G123" s="71"/>
    </row>
    <row r="124" spans="1:8" x14ac:dyDescent="0.25">
      <c r="A124" s="76" t="s">
        <v>65</v>
      </c>
      <c r="B124" s="77"/>
      <c r="C124" s="77"/>
      <c r="D124" s="77"/>
      <c r="E124" s="77"/>
      <c r="F124" s="78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6" t="s">
        <v>67</v>
      </c>
      <c r="B126" s="77"/>
      <c r="C126" s="77"/>
      <c r="D126" s="77"/>
      <c r="E126" s="77"/>
      <c r="F126" s="78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83"/>
      <c r="B128" s="83"/>
      <c r="C128" s="83"/>
      <c r="D128" s="83"/>
      <c r="E128" s="83"/>
      <c r="F128" s="83"/>
      <c r="G128" s="83"/>
    </row>
    <row r="129" spans="1:8" x14ac:dyDescent="0.25">
      <c r="A129" s="70" t="s">
        <v>69</v>
      </c>
      <c r="B129" s="70"/>
      <c r="C129" s="70"/>
      <c r="D129" s="70"/>
      <c r="E129" s="70"/>
      <c r="F129" s="70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71"/>
      <c r="B132" s="71"/>
      <c r="C132" s="71"/>
      <c r="D132" s="71"/>
      <c r="E132" s="71"/>
      <c r="F132" s="71"/>
      <c r="G132" s="71"/>
    </row>
    <row r="133" spans="1:8" x14ac:dyDescent="0.25">
      <c r="A133" s="70" t="s">
        <v>72</v>
      </c>
      <c r="B133" s="70"/>
      <c r="C133" s="70"/>
      <c r="D133" s="70"/>
      <c r="E133" s="70"/>
      <c r="F133" s="70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71"/>
      <c r="B135" s="71"/>
      <c r="C135" s="71"/>
      <c r="D135" s="71"/>
      <c r="E135" s="71"/>
      <c r="F135" s="71"/>
      <c r="G135" s="71"/>
    </row>
    <row r="136" spans="1:8" ht="21" x14ac:dyDescent="0.35">
      <c r="A136" s="79" t="s">
        <v>74</v>
      </c>
      <c r="B136" s="79"/>
      <c r="C136" s="79"/>
      <c r="D136" s="79"/>
      <c r="E136" s="79"/>
      <c r="F136" s="79"/>
    </row>
    <row r="137" spans="1:8" x14ac:dyDescent="0.25">
      <c r="A137" s="70" t="s">
        <v>75</v>
      </c>
      <c r="B137" s="70"/>
      <c r="C137" s="70"/>
      <c r="D137" s="70"/>
      <c r="E137" s="70"/>
      <c r="F137" s="70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71"/>
      <c r="B140" s="71"/>
      <c r="C140" s="71"/>
      <c r="D140" s="71"/>
      <c r="E140" s="71"/>
      <c r="F140" s="71"/>
      <c r="G140" s="71"/>
      <c r="H140" s="7"/>
    </row>
    <row r="141" spans="1:8" x14ac:dyDescent="0.25">
      <c r="A141" s="71"/>
      <c r="B141" s="71"/>
      <c r="C141" s="71"/>
      <c r="D141" s="71"/>
      <c r="E141" s="71"/>
      <c r="F141" s="71"/>
      <c r="G141" s="71"/>
    </row>
    <row r="142" spans="1:8" ht="21" x14ac:dyDescent="0.35">
      <c r="A142" s="80" t="s">
        <v>78</v>
      </c>
      <c r="B142" s="81"/>
      <c r="C142" s="81"/>
      <c r="D142" s="81"/>
      <c r="E142" s="81"/>
      <c r="F142" s="82"/>
    </row>
    <row r="143" spans="1:8" x14ac:dyDescent="0.25">
      <c r="A143" s="76" t="s">
        <v>79</v>
      </c>
      <c r="B143" s="77"/>
      <c r="C143" s="77"/>
      <c r="D143" s="77"/>
      <c r="E143" s="77"/>
      <c r="F143" s="78"/>
    </row>
    <row r="144" spans="1:8" x14ac:dyDescent="0.25">
      <c r="A144" s="71"/>
      <c r="B144" s="71"/>
      <c r="C144" s="71"/>
      <c r="D144" s="71"/>
      <c r="E144" s="71"/>
      <c r="F144" s="71"/>
      <c r="G144" s="71"/>
    </row>
    <row r="145" spans="1:7" x14ac:dyDescent="0.25">
      <c r="A145" s="75" t="s">
        <v>80</v>
      </c>
      <c r="B145" s="75"/>
      <c r="C145" s="75"/>
      <c r="D145" s="75"/>
      <c r="E145" s="75"/>
      <c r="F145" s="75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71"/>
      <c r="B148" s="71"/>
      <c r="C148" s="71"/>
      <c r="D148" s="71"/>
      <c r="E148" s="71"/>
      <c r="F148" s="71"/>
      <c r="G148" s="71"/>
    </row>
    <row r="149" spans="1:7" x14ac:dyDescent="0.25">
      <c r="A149" s="75" t="s">
        <v>83</v>
      </c>
      <c r="B149" s="75"/>
      <c r="C149" s="75"/>
      <c r="D149" s="75"/>
      <c r="E149" s="75"/>
      <c r="F149" s="75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71"/>
      <c r="B152" s="71"/>
      <c r="C152" s="71"/>
      <c r="D152" s="71"/>
      <c r="E152" s="71"/>
      <c r="F152" s="71"/>
      <c r="G152" s="71"/>
    </row>
    <row r="153" spans="1:7" x14ac:dyDescent="0.25">
      <c r="A153" s="75" t="s">
        <v>86</v>
      </c>
      <c r="B153" s="75"/>
      <c r="C153" s="75"/>
      <c r="D153" s="75"/>
      <c r="E153" s="75"/>
      <c r="F153" s="75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71"/>
      <c r="B156" s="71"/>
      <c r="C156" s="71"/>
      <c r="D156" s="71"/>
      <c r="E156" s="71"/>
      <c r="F156" s="71"/>
      <c r="G156" s="71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71"/>
      <c r="B160" s="71"/>
      <c r="C160" s="71"/>
      <c r="D160" s="71"/>
      <c r="E160" s="71"/>
      <c r="F160" s="71"/>
      <c r="G160" s="71"/>
    </row>
    <row r="161" spans="1:7" x14ac:dyDescent="0.25">
      <c r="A161" s="70" t="s">
        <v>92</v>
      </c>
      <c r="B161" s="70"/>
      <c r="C161" s="70"/>
      <c r="D161" s="70"/>
      <c r="E161" s="70"/>
      <c r="F161" s="70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71"/>
      <c r="B164" s="71"/>
      <c r="C164" s="71"/>
      <c r="D164" s="71"/>
      <c r="E164" s="71"/>
      <c r="F164" s="71"/>
    </row>
    <row r="165" spans="1:7" x14ac:dyDescent="0.25">
      <c r="A165" s="76" t="s">
        <v>93</v>
      </c>
      <c r="B165" s="77"/>
      <c r="C165" s="77"/>
      <c r="D165" s="77"/>
      <c r="E165" s="77"/>
      <c r="F165" s="78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71"/>
      <c r="B169" s="71"/>
      <c r="C169" s="71"/>
      <c r="D169" s="71"/>
      <c r="E169" s="71"/>
      <c r="F169" s="71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71"/>
      <c r="B173" s="71"/>
      <c r="C173" s="71"/>
      <c r="D173" s="71"/>
      <c r="E173" s="71"/>
      <c r="F173" s="71"/>
      <c r="G173" s="71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71"/>
      <c r="B177" s="71"/>
      <c r="C177" s="71"/>
      <c r="D177" s="71"/>
      <c r="E177" s="71"/>
      <c r="F177" s="71"/>
      <c r="G177" s="71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71"/>
      <c r="B181" s="71"/>
      <c r="C181" s="71"/>
      <c r="D181" s="71"/>
      <c r="E181" s="71"/>
      <c r="F181" s="71"/>
      <c r="G181" s="71"/>
    </row>
    <row r="182" spans="1:7" x14ac:dyDescent="0.25">
      <c r="A182" s="70" t="s">
        <v>101</v>
      </c>
      <c r="B182" s="70"/>
      <c r="C182" s="70"/>
      <c r="D182" s="70"/>
      <c r="E182" s="70"/>
      <c r="F182" s="70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71"/>
      <c r="B185" s="71"/>
      <c r="C185" s="71"/>
      <c r="D185" s="71"/>
      <c r="E185" s="71"/>
      <c r="F185" s="71"/>
      <c r="G185" s="71"/>
    </row>
    <row r="186" spans="1:7" x14ac:dyDescent="0.25">
      <c r="A186" s="70" t="s">
        <v>104</v>
      </c>
      <c r="B186" s="70"/>
      <c r="C186" s="70"/>
      <c r="D186" s="70"/>
      <c r="E186" s="70"/>
      <c r="F186" s="70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71"/>
      <c r="B189" s="71"/>
      <c r="C189" s="71"/>
      <c r="D189" s="71"/>
      <c r="E189" s="71"/>
      <c r="F189" s="71"/>
      <c r="G189" s="71"/>
    </row>
    <row r="190" spans="1:7" x14ac:dyDescent="0.25">
      <c r="A190" s="70" t="s">
        <v>107</v>
      </c>
      <c r="B190" s="70"/>
      <c r="C190" s="70"/>
      <c r="D190" s="70"/>
      <c r="E190" s="70"/>
      <c r="F190" s="70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6"/>
  <sheetViews>
    <sheetView zoomScaleNormal="100" workbookViewId="0">
      <selection activeCell="G59" sqref="G59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91759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102061</v>
      </c>
    </row>
    <row r="56" spans="2:9" x14ac:dyDescent="0.25">
      <c r="B56" s="14" t="s">
        <v>47</v>
      </c>
      <c r="C56" s="27">
        <v>52567.946404000002</v>
      </c>
      <c r="D56" s="27">
        <v>6958.7942799999701</v>
      </c>
      <c r="E56" s="27">
        <v>1939.603552</v>
      </c>
      <c r="F56" s="27">
        <v>9535</v>
      </c>
      <c r="G56" s="27">
        <f t="shared" si="0"/>
        <v>71001.344235999975</v>
      </c>
    </row>
    <row r="57" spans="2:9" x14ac:dyDescent="0.25">
      <c r="B57" s="14" t="s">
        <v>48</v>
      </c>
      <c r="C57" s="27">
        <v>11.4631371309626</v>
      </c>
      <c r="D57" s="27">
        <v>38</v>
      </c>
      <c r="E57" s="27">
        <v>20.976101568334578</v>
      </c>
      <c r="F57" s="27">
        <v>29</v>
      </c>
      <c r="G57" s="27">
        <f>AVERAGE(C57:F57)</f>
        <v>24.859809674824294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3209</v>
      </c>
      <c r="D67" s="27">
        <v>1504</v>
      </c>
      <c r="E67" s="27">
        <v>1667</v>
      </c>
      <c r="F67" s="27">
        <v>9883</v>
      </c>
      <c r="G67" s="27">
        <f t="shared" si="0"/>
        <v>16263</v>
      </c>
    </row>
    <row r="68" spans="2:8" x14ac:dyDescent="0.25">
      <c r="B68" s="14" t="s">
        <v>47</v>
      </c>
      <c r="C68" s="27">
        <v>2876.6195290000001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19807.028329000001</v>
      </c>
    </row>
    <row r="69" spans="2:8" x14ac:dyDescent="0.25">
      <c r="B69" s="14" t="s">
        <v>48</v>
      </c>
      <c r="C69" s="27">
        <v>33.543783110003098</v>
      </c>
      <c r="D69" s="27">
        <v>55</v>
      </c>
      <c r="E69" s="27">
        <v>50.941211757648468</v>
      </c>
      <c r="F69" s="27">
        <v>38</v>
      </c>
      <c r="G69" s="27">
        <f>AVERAGE(C69:F69)</f>
        <v>44.371248716912888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94968</v>
      </c>
      <c r="D73" s="19">
        <v>6500</v>
      </c>
      <c r="E73" s="19">
        <v>3006</v>
      </c>
      <c r="F73" s="19">
        <v>13850</v>
      </c>
      <c r="G73" s="19">
        <f>SUM(C73:F73)</f>
        <v>118324</v>
      </c>
    </row>
    <row r="74" spans="2:8" x14ac:dyDescent="0.25">
      <c r="B74" s="18" t="s">
        <v>47</v>
      </c>
      <c r="C74" s="19">
        <f>+C56+C68</f>
        <v>55444.565933000005</v>
      </c>
      <c r="D74" s="19">
        <v>8692.5974599999699</v>
      </c>
      <c r="E74" s="19">
        <v>4270.2091719999999</v>
      </c>
      <c r="F74" s="19">
        <v>22401</v>
      </c>
      <c r="G74" s="22">
        <f>SUM(C74:F74)</f>
        <v>90808.372564999969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96"/>
  <sheetViews>
    <sheetView zoomScaleNormal="100" workbookViewId="0">
      <selection activeCell="G70" sqref="G70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102859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114676</v>
      </c>
    </row>
    <row r="56" spans="2:9" x14ac:dyDescent="0.25">
      <c r="B56" s="14" t="s">
        <v>47</v>
      </c>
      <c r="C56" s="27">
        <v>61792.480561999997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82965.437678999951</v>
      </c>
    </row>
    <row r="57" spans="2:9" x14ac:dyDescent="0.25">
      <c r="B57" s="14" t="s">
        <v>48</v>
      </c>
      <c r="C57" s="27">
        <v>11.690450033541101</v>
      </c>
      <c r="D57" s="27">
        <v>39</v>
      </c>
      <c r="E57" s="27">
        <v>20.917256011315416</v>
      </c>
      <c r="F57" s="27">
        <v>29</v>
      </c>
      <c r="G57" s="27">
        <f>AVERAGE(C57:F57)</f>
        <v>25.151926511214128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4244</v>
      </c>
      <c r="D67" s="27">
        <v>2003</v>
      </c>
      <c r="E67" s="27">
        <v>1938</v>
      </c>
      <c r="F67" s="27">
        <v>11904</v>
      </c>
      <c r="G67" s="27">
        <f t="shared" si="0"/>
        <v>20089</v>
      </c>
    </row>
    <row r="68" spans="2:8" x14ac:dyDescent="0.25">
      <c r="B68" s="14" t="s">
        <v>47</v>
      </c>
      <c r="C68" s="27">
        <v>3650.6534630000001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22420.574112000002</v>
      </c>
    </row>
    <row r="69" spans="2:8" x14ac:dyDescent="0.25">
      <c r="B69" s="14" t="s">
        <v>48</v>
      </c>
      <c r="C69" s="27">
        <v>33.278275212064102</v>
      </c>
      <c r="D69" s="27">
        <v>55</v>
      </c>
      <c r="E69" s="27">
        <v>50.275025799793603</v>
      </c>
      <c r="F69" s="27">
        <v>38</v>
      </c>
      <c r="G69" s="27">
        <f>AVERAGE(C69:F69)</f>
        <v>44.138325252964428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107103</v>
      </c>
      <c r="D73" s="19">
        <v>7512</v>
      </c>
      <c r="E73" s="19">
        <v>3352</v>
      </c>
      <c r="F73" s="19">
        <v>16798</v>
      </c>
      <c r="G73" s="19">
        <f>SUM(C73:F73)</f>
        <v>134765</v>
      </c>
    </row>
    <row r="74" spans="2:8" x14ac:dyDescent="0.25">
      <c r="B74" s="18" t="s">
        <v>47</v>
      </c>
      <c r="C74" s="19">
        <f>+C56+C68</f>
        <v>65443.134024999999</v>
      </c>
      <c r="D74" s="19">
        <v>9169.9541889999491</v>
      </c>
      <c r="E74" s="19">
        <v>4361.9235769999996</v>
      </c>
      <c r="F74" s="19">
        <v>26411</v>
      </c>
      <c r="G74" s="22">
        <f>SUM(C74:F74)</f>
        <v>105386.01179099994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14579</v>
      </c>
      <c r="E158" s="19">
        <v>21</v>
      </c>
      <c r="F158" s="19">
        <f>F146+F154</f>
        <v>863</v>
      </c>
      <c r="G158" s="19">
        <f>SUM(C158:F158)</f>
        <v>15463</v>
      </c>
    </row>
    <row r="159" spans="2:8" x14ac:dyDescent="0.25">
      <c r="B159" s="18" t="s">
        <v>91</v>
      </c>
      <c r="C159" s="19">
        <v>0</v>
      </c>
      <c r="D159" s="19">
        <v>550.19200000000001</v>
      </c>
      <c r="E159" s="19">
        <v>1</v>
      </c>
      <c r="F159" s="19">
        <f>F147+F155</f>
        <v>9.5444999999999993</v>
      </c>
      <c r="G159" s="22">
        <f>SUM(C159:F159)</f>
        <v>560.73649999999998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96"/>
  <sheetViews>
    <sheetView zoomScaleNormal="100" workbookViewId="0">
      <selection activeCell="I69" sqref="I69"/>
    </sheetView>
  </sheetViews>
  <sheetFormatPr baseColWidth="10" defaultColWidth="9.140625" defaultRowHeight="15" x14ac:dyDescent="0.25"/>
  <cols>
    <col min="1" max="1" width="2.5703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91486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102821</v>
      </c>
    </row>
    <row r="56" spans="2:9" x14ac:dyDescent="0.25">
      <c r="B56" s="14" t="s">
        <v>47</v>
      </c>
      <c r="C56" s="27">
        <v>72693.303750999999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93599.379965999979</v>
      </c>
    </row>
    <row r="57" spans="2:9" x14ac:dyDescent="0.25">
      <c r="B57" s="14" t="s">
        <v>48</v>
      </c>
      <c r="C57" s="27">
        <v>14.354163478565001</v>
      </c>
      <c r="D57" s="27">
        <v>39</v>
      </c>
      <c r="E57" s="27">
        <v>20.548532731376977</v>
      </c>
      <c r="F57" s="27">
        <v>29</v>
      </c>
      <c r="G57" s="27">
        <f>AVERAGE(C57:F57)</f>
        <v>25.725674052485495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4035</v>
      </c>
      <c r="D67" s="27">
        <v>1799</v>
      </c>
      <c r="E67" s="27">
        <v>1653</v>
      </c>
      <c r="F67" s="27">
        <v>12149</v>
      </c>
      <c r="G67" s="27">
        <f t="shared" si="0"/>
        <v>19636</v>
      </c>
    </row>
    <row r="68" spans="2:8" x14ac:dyDescent="0.25">
      <c r="B68" s="14" t="s">
        <v>47</v>
      </c>
      <c r="C68" s="27">
        <v>3764.3909859999999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23116.156384000002</v>
      </c>
    </row>
    <row r="69" spans="2:8" x14ac:dyDescent="0.25">
      <c r="B69" s="14" t="s">
        <v>48</v>
      </c>
      <c r="C69" s="27">
        <v>33.477819083023498</v>
      </c>
      <c r="D69" s="27">
        <v>55</v>
      </c>
      <c r="E69" s="27">
        <v>50.071385359951606</v>
      </c>
      <c r="F69" s="27">
        <v>38</v>
      </c>
      <c r="G69" s="27">
        <f>AVERAGE(C69:F69)</f>
        <v>44.137301110743778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95521</v>
      </c>
      <c r="D73" s="19">
        <v>7180</v>
      </c>
      <c r="E73" s="19">
        <v>2982</v>
      </c>
      <c r="F73" s="19">
        <v>16774</v>
      </c>
      <c r="G73" s="19">
        <f>SUM(C73:F73)</f>
        <v>122457</v>
      </c>
    </row>
    <row r="74" spans="2:8" x14ac:dyDescent="0.25">
      <c r="B74" s="18" t="s">
        <v>47</v>
      </c>
      <c r="C74" s="19">
        <f>+C56+C68</f>
        <v>76457.694736999998</v>
      </c>
      <c r="D74" s="19">
        <v>9195.1279599999707</v>
      </c>
      <c r="E74" s="19">
        <v>4041.7136530000002</v>
      </c>
      <c r="F74" s="19">
        <v>27021</v>
      </c>
      <c r="G74" s="22">
        <f>SUM(C74:F74)</f>
        <v>116715.53634999997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1075</v>
      </c>
      <c r="E146" s="27">
        <v>0</v>
      </c>
      <c r="F146" s="1">
        <v>893</v>
      </c>
      <c r="G146" s="27">
        <f>SUM(C146:F146)</f>
        <v>1968</v>
      </c>
    </row>
    <row r="147" spans="2:8" x14ac:dyDescent="0.25">
      <c r="B147" s="14" t="s">
        <v>82</v>
      </c>
      <c r="C147" s="27">
        <v>0</v>
      </c>
      <c r="D147" s="27">
        <v>23.456</v>
      </c>
      <c r="E147" s="27">
        <v>0</v>
      </c>
      <c r="F147" s="29">
        <v>9.4142499999999991</v>
      </c>
      <c r="G147" s="11">
        <f>SUM(C147:F147)</f>
        <v>32.870249999999999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0.44</v>
      </c>
      <c r="E151" s="27">
        <v>0</v>
      </c>
      <c r="F151" s="27">
        <v>0</v>
      </c>
      <c r="G151" s="11">
        <f>SUM(C151:F151)</f>
        <v>0.44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427</v>
      </c>
      <c r="E154" s="35">
        <v>0</v>
      </c>
      <c r="F154" s="34">
        <v>0</v>
      </c>
      <c r="G154" s="27">
        <f>SUM(C154:F154)</f>
        <v>427</v>
      </c>
      <c r="H154"/>
    </row>
    <row r="155" spans="2:8" x14ac:dyDescent="0.25">
      <c r="B155" s="14" t="s">
        <v>88</v>
      </c>
      <c r="C155" s="11">
        <v>0</v>
      </c>
      <c r="D155" s="27">
        <v>5.75</v>
      </c>
      <c r="E155" s="35">
        <v>0</v>
      </c>
      <c r="F155" s="34">
        <v>0</v>
      </c>
      <c r="G155" s="11">
        <f>SUM(C155:F155)</f>
        <v>5.75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1506</v>
      </c>
      <c r="E158" s="19">
        <v>0</v>
      </c>
      <c r="F158" s="19">
        <f>F146+F154</f>
        <v>893</v>
      </c>
      <c r="G158" s="19">
        <f>SUM(C158:F158)</f>
        <v>2399</v>
      </c>
    </row>
    <row r="159" spans="2:8" x14ac:dyDescent="0.25">
      <c r="B159" s="18" t="s">
        <v>91</v>
      </c>
      <c r="C159" s="19">
        <v>0</v>
      </c>
      <c r="D159" s="19">
        <v>29.646000000000001</v>
      </c>
      <c r="E159" s="19">
        <v>0</v>
      </c>
      <c r="F159" s="19">
        <f>F147+F155</f>
        <v>9.4142499999999991</v>
      </c>
      <c r="G159" s="22">
        <f>SUM(C159:F159)</f>
        <v>39.060249999999996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3006</v>
      </c>
      <c r="D162" s="27">
        <v>50777</v>
      </c>
      <c r="E162" s="27">
        <v>6191</v>
      </c>
      <c r="F162" s="27">
        <v>31409</v>
      </c>
      <c r="G162" s="27">
        <f>SUM(C162:F162)</f>
        <v>91383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128.09056700000002</v>
      </c>
      <c r="E163" s="27">
        <v>99.384868999999995</v>
      </c>
      <c r="F163" s="27">
        <v>197.4366</v>
      </c>
      <c r="G163" s="11">
        <f>SUM(C163:F163)</f>
        <v>494.50896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603</v>
      </c>
      <c r="D167" s="27">
        <v>3540</v>
      </c>
      <c r="E167" s="27">
        <v>79</v>
      </c>
      <c r="F167" s="27">
        <v>472</v>
      </c>
      <c r="G167" s="27">
        <f>SUM(C167:F167)</f>
        <v>4694</v>
      </c>
    </row>
    <row r="168" spans="2:8" x14ac:dyDescent="0.25">
      <c r="B168" s="14" t="s">
        <v>96</v>
      </c>
      <c r="C168" s="27">
        <f>21105000/1000000</f>
        <v>21.105</v>
      </c>
      <c r="D168" s="27">
        <v>97.115776999999994</v>
      </c>
      <c r="E168" s="27">
        <v>2.6</v>
      </c>
      <c r="F168" s="27">
        <v>17.07</v>
      </c>
      <c r="G168" s="11">
        <f>SUM(C168:F168)</f>
        <v>137.89077699999999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1833</v>
      </c>
      <c r="D171" s="27">
        <v>484</v>
      </c>
      <c r="E171" s="27">
        <v>117</v>
      </c>
      <c r="F171" s="27">
        <v>436</v>
      </c>
      <c r="G171" s="27">
        <f>SUM(C171:F171)</f>
        <v>2870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10.163</v>
      </c>
      <c r="E172" s="27">
        <v>2.9</v>
      </c>
      <c r="F172" s="27">
        <v>9.593</v>
      </c>
      <c r="G172" s="11">
        <f>SUM(C172:F172)</f>
        <v>86.811000000000007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231</v>
      </c>
      <c r="D175" s="27">
        <v>393</v>
      </c>
      <c r="E175" s="27">
        <v>202</v>
      </c>
      <c r="F175" s="14">
        <v>45</v>
      </c>
      <c r="G175" s="27">
        <f>SUM(C175:F175)</f>
        <v>871</v>
      </c>
    </row>
    <row r="176" spans="2:8" x14ac:dyDescent="0.25">
      <c r="B176" s="14" t="s">
        <v>96</v>
      </c>
      <c r="C176" s="27">
        <f>24290000/1000000</f>
        <v>24.29</v>
      </c>
      <c r="D176" s="27">
        <v>41.35</v>
      </c>
      <c r="E176" s="27">
        <v>11.19</v>
      </c>
      <c r="F176" s="27">
        <v>4.45</v>
      </c>
      <c r="G176" s="11">
        <f>SUM(C176:F176)</f>
        <v>81.28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291</v>
      </c>
      <c r="D179" s="27">
        <v>233087</v>
      </c>
      <c r="E179" s="27">
        <v>0</v>
      </c>
      <c r="F179" s="27">
        <v>0</v>
      </c>
      <c r="G179" s="27">
        <f>SUM(C179:F179)</f>
        <v>233378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4235.3529471964503</v>
      </c>
      <c r="E180" s="27">
        <v>0</v>
      </c>
      <c r="F180" s="27">
        <v>0</v>
      </c>
      <c r="G180" s="11">
        <f>SUM(C180:F180)</f>
        <v>4247.1079471964504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2958</v>
      </c>
      <c r="D183" s="19">
        <v>237504</v>
      </c>
      <c r="E183" s="19">
        <v>398</v>
      </c>
      <c r="F183" s="19">
        <f>+F179+F175+F171+F167</f>
        <v>953</v>
      </c>
      <c r="G183" s="19">
        <f>SUM(C183:F183)</f>
        <v>241813</v>
      </c>
    </row>
    <row r="184" spans="2:8" x14ac:dyDescent="0.25">
      <c r="B184" s="18" t="s">
        <v>103</v>
      </c>
      <c r="C184" s="19">
        <f>+C180+C176+C172+C168</f>
        <v>121.30500000000001</v>
      </c>
      <c r="D184" s="19">
        <v>4383.9817241964502</v>
      </c>
      <c r="E184" s="19">
        <v>16.689999999999998</v>
      </c>
      <c r="F184" s="19">
        <f>+F180+F176+F172+F168</f>
        <v>31.113</v>
      </c>
      <c r="G184" s="22">
        <f>SUM(C184:F184)</f>
        <v>4553.0897241964503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1839</v>
      </c>
      <c r="D187" s="27">
        <v>7094</v>
      </c>
      <c r="E187" s="27">
        <v>66</v>
      </c>
      <c r="F187" s="27">
        <v>33255</v>
      </c>
      <c r="G187" s="27">
        <f>SUM(C187:F187)</f>
        <v>42254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202.90669400000002</v>
      </c>
      <c r="E188" s="27">
        <v>2.64</v>
      </c>
      <c r="F188" s="27">
        <v>237.98384999999996</v>
      </c>
      <c r="G188" s="11">
        <f>SUM(C188:F188)</f>
        <v>463.86663999999996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7803</v>
      </c>
      <c r="D191" s="19">
        <v>296881</v>
      </c>
      <c r="E191" s="19">
        <v>6655</v>
      </c>
      <c r="F191" s="19">
        <f>F158+F162+F183+F187</f>
        <v>66510</v>
      </c>
      <c r="G191" s="19">
        <f>SUM(C191:F191)</f>
        <v>377849</v>
      </c>
    </row>
    <row r="192" spans="2:8" x14ac:dyDescent="0.25">
      <c r="B192" s="18" t="s">
        <v>109</v>
      </c>
      <c r="C192" s="19">
        <f>C188+C163+C184</f>
        <v>211.23802000000001</v>
      </c>
      <c r="D192" s="19">
        <v>4744.6249851964503</v>
      </c>
      <c r="E192" s="19">
        <v>118.71486899999999</v>
      </c>
      <c r="F192" s="19">
        <f>F159+F184+F163+F188</f>
        <v>475.94769999999994</v>
      </c>
      <c r="G192" s="22">
        <f>SUM(C192:F192)</f>
        <v>5550.5255741964502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96"/>
  <sheetViews>
    <sheetView zoomScaleNormal="100" workbookViewId="0">
      <selection activeCell="I70" sqref="I70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55155</v>
      </c>
      <c r="D6" s="12">
        <v>8153</v>
      </c>
      <c r="E6" s="12">
        <v>8127</v>
      </c>
      <c r="F6" s="12">
        <v>9811</v>
      </c>
      <c r="G6" s="12">
        <f>+F6+E6+D6+C6</f>
        <v>81246</v>
      </c>
    </row>
    <row r="7" spans="1:7" x14ac:dyDescent="0.25">
      <c r="B7" s="14" t="s">
        <v>10</v>
      </c>
      <c r="C7" s="12">
        <v>553</v>
      </c>
      <c r="D7" s="12">
        <v>250</v>
      </c>
      <c r="E7" s="12">
        <v>24</v>
      </c>
      <c r="F7" s="12">
        <v>143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55708</v>
      </c>
      <c r="D8" s="25">
        <f>+D6+D7</f>
        <v>8403</v>
      </c>
      <c r="E8" s="25">
        <v>8151</v>
      </c>
      <c r="F8" s="25">
        <v>9954</v>
      </c>
      <c r="G8" s="25">
        <f>+F8+E8+D8+C8</f>
        <v>82216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774161</v>
      </c>
      <c r="D12" s="17">
        <v>100902</v>
      </c>
      <c r="E12" s="17">
        <v>41467</v>
      </c>
      <c r="F12" s="17">
        <v>0</v>
      </c>
      <c r="G12" s="17">
        <f>SUM(C12:F12)</f>
        <v>916530</v>
      </c>
    </row>
    <row r="13" spans="1:7" x14ac:dyDescent="0.25">
      <c r="B13" s="16" t="s">
        <v>15</v>
      </c>
      <c r="C13" s="17">
        <v>2550326</v>
      </c>
      <c r="D13" s="17">
        <v>546109</v>
      </c>
      <c r="E13" s="17">
        <v>234866</v>
      </c>
      <c r="F13" s="17">
        <v>0</v>
      </c>
      <c r="G13" s="17">
        <f>SUM(C13:F13)</f>
        <v>3331301</v>
      </c>
    </row>
    <row r="14" spans="1:7" x14ac:dyDescent="0.25">
      <c r="B14" s="18" t="s">
        <v>16</v>
      </c>
      <c r="C14" s="19">
        <f>C13+C12</f>
        <v>3324487</v>
      </c>
      <c r="D14" s="19">
        <v>959018</v>
      </c>
      <c r="E14" s="19">
        <v>276333</v>
      </c>
      <c r="F14" s="19">
        <v>350551</v>
      </c>
      <c r="G14" s="19">
        <f>SUM(C14:F14)</f>
        <v>4910389</v>
      </c>
    </row>
    <row r="15" spans="1:7" x14ac:dyDescent="0.25">
      <c r="B15" s="18" t="s">
        <v>17</v>
      </c>
      <c r="C15" s="19">
        <v>529518</v>
      </c>
      <c r="D15" s="19">
        <v>170056</v>
      </c>
      <c r="E15" s="19">
        <v>3404</v>
      </c>
      <c r="F15" s="19">
        <v>148948</v>
      </c>
      <c r="G15" s="19">
        <f>SUM(C15:F15)</f>
        <v>851926</v>
      </c>
    </row>
    <row r="16" spans="1:7" x14ac:dyDescent="0.25">
      <c r="B16" s="18" t="s">
        <v>18</v>
      </c>
      <c r="C16" s="19">
        <f>C15+C14</f>
        <v>3854005</v>
      </c>
      <c r="D16" s="19">
        <v>1129074</v>
      </c>
      <c r="E16" s="19">
        <v>279737</v>
      </c>
      <c r="F16" s="19">
        <v>499499</v>
      </c>
      <c r="G16" s="19">
        <f>SUM(C16:F16)</f>
        <v>5762315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+C19+C16</f>
        <v>3857478</v>
      </c>
      <c r="D21" s="19">
        <v>1129078</v>
      </c>
      <c r="E21" s="19">
        <v>279737</v>
      </c>
      <c r="F21" s="19">
        <f>F16</f>
        <v>499499</v>
      </c>
      <c r="G21" s="19">
        <f>SUM(C21:F21)</f>
        <v>5765792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408150</v>
      </c>
      <c r="D24" s="19">
        <v>205340</v>
      </c>
      <c r="E24" s="19">
        <v>150193</v>
      </c>
      <c r="F24" s="19">
        <v>684095</v>
      </c>
      <c r="G24" s="19">
        <f>SUM(C24:F24)</f>
        <v>1447778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4265628</v>
      </c>
      <c r="D27" s="19">
        <f>+D24+D21</f>
        <v>1334418</v>
      </c>
      <c r="E27" s="19">
        <f>+E21+E24</f>
        <v>429930</v>
      </c>
      <c r="F27" s="19">
        <f>+F24+F21</f>
        <v>1183594</v>
      </c>
      <c r="G27" s="19">
        <f>SUM(C27:F27)</f>
        <v>7213570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1272305</v>
      </c>
      <c r="D30" s="27">
        <v>129986</v>
      </c>
      <c r="E30" s="27">
        <v>78987</v>
      </c>
      <c r="F30" s="27">
        <v>207041</v>
      </c>
      <c r="G30" s="27">
        <f>SUM(C30:F30)</f>
        <v>1688319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4112934884939</v>
      </c>
      <c r="D33" s="27">
        <v>769263560318</v>
      </c>
      <c r="E33" s="27">
        <v>277259643067</v>
      </c>
      <c r="F33" s="27">
        <v>474440789590</v>
      </c>
      <c r="G33" s="27">
        <f>SUM(C33:F33)</f>
        <v>5633898877914</v>
      </c>
    </row>
    <row r="34" spans="2:9" x14ac:dyDescent="0.25">
      <c r="B34" s="14" t="s">
        <v>30</v>
      </c>
      <c r="C34" s="27">
        <v>175286261529</v>
      </c>
      <c r="D34" s="27">
        <v>72696977618</v>
      </c>
      <c r="E34" s="27">
        <v>46007717000</v>
      </c>
      <c r="F34" s="27">
        <v>209109503862</v>
      </c>
      <c r="G34" s="27">
        <f>SUM(C34:F34)</f>
        <v>503100460009</v>
      </c>
    </row>
    <row r="35" spans="2:9" x14ac:dyDescent="0.25">
      <c r="B35" s="39" t="s">
        <v>31</v>
      </c>
      <c r="C35" s="40">
        <f>SUM(C33:C34)</f>
        <v>4288221146468</v>
      </c>
      <c r="D35" s="40">
        <f>+D34+D33</f>
        <v>841960537936</v>
      </c>
      <c r="E35" s="40">
        <v>323267360067</v>
      </c>
      <c r="F35" s="40">
        <v>683550293452</v>
      </c>
      <c r="G35" s="40">
        <f>SUM(C35:F35)</f>
        <v>6136999337923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772289</v>
      </c>
      <c r="D40" s="27">
        <v>116544</v>
      </c>
      <c r="E40" s="27">
        <v>52064</v>
      </c>
      <c r="F40" s="27">
        <v>72857</v>
      </c>
      <c r="G40" s="27">
        <f>SUM(C40:F40)</f>
        <v>1013754</v>
      </c>
      <c r="H40" s="7"/>
      <c r="I40" s="7"/>
    </row>
    <row r="41" spans="2:9" x14ac:dyDescent="0.25">
      <c r="B41" s="14" t="s">
        <v>36</v>
      </c>
      <c r="C41" s="27">
        <f>5183528815/1000000</f>
        <v>5183.5288149999997</v>
      </c>
      <c r="D41" s="27">
        <v>1302.506887</v>
      </c>
      <c r="E41" s="27">
        <v>560.29999999999995</v>
      </c>
      <c r="F41" s="27">
        <v>748.23556199999996</v>
      </c>
      <c r="G41" s="11">
        <f>SUM(C41:F41)</f>
        <v>7794.5712639999992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6</v>
      </c>
      <c r="D44" s="27">
        <v>1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4796214/1000000</f>
        <v>4.796214</v>
      </c>
      <c r="D45" s="27">
        <v>8.6689999999999996E-3</v>
      </c>
      <c r="E45" s="27">
        <v>0</v>
      </c>
      <c r="F45" s="27">
        <v>0</v>
      </c>
      <c r="G45" s="11">
        <f>SUM(C45:F45)</f>
        <v>4.8048830000000002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156995</v>
      </c>
      <c r="D48" s="27">
        <v>65042</v>
      </c>
      <c r="E48" s="27">
        <v>9103</v>
      </c>
      <c r="F48" s="27">
        <v>50692</v>
      </c>
      <c r="G48" s="27">
        <f>SUM(C48:F48)</f>
        <v>281832</v>
      </c>
      <c r="H48" s="7"/>
      <c r="I48" s="7"/>
    </row>
    <row r="49" spans="2:9" x14ac:dyDescent="0.25">
      <c r="B49" s="14" t="s">
        <v>42</v>
      </c>
      <c r="C49" s="27">
        <f>(73270458181+1426310894)/1000000</f>
        <v>74696.769075000004</v>
      </c>
      <c r="D49" s="27">
        <v>28383</v>
      </c>
      <c r="E49" s="27">
        <v>9551.5874220000005</v>
      </c>
      <c r="F49" s="27">
        <v>10558.698241</v>
      </c>
      <c r="G49" s="11">
        <f>SUM(C49:F49)</f>
        <v>123190.05473800001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87631</v>
      </c>
      <c r="D55" s="27">
        <v>4206</v>
      </c>
      <c r="E55" s="27">
        <v>1185</v>
      </c>
      <c r="F55" s="27">
        <v>3847</v>
      </c>
      <c r="G55" s="27">
        <f t="shared" ref="G55:G71" si="0">SUM(C55:F55)</f>
        <v>96869</v>
      </c>
    </row>
    <row r="56" spans="2:9" x14ac:dyDescent="0.25">
      <c r="B56" s="14" t="s">
        <v>47</v>
      </c>
      <c r="C56" s="27">
        <v>61167.271449</v>
      </c>
      <c r="D56" s="27">
        <v>5311.7410299999801</v>
      </c>
      <c r="E56" s="27">
        <v>1933.898692</v>
      </c>
      <c r="F56" s="27">
        <v>9265</v>
      </c>
      <c r="G56" s="27">
        <f t="shared" si="0"/>
        <v>77677.911170999985</v>
      </c>
    </row>
    <row r="57" spans="2:9" x14ac:dyDescent="0.25">
      <c r="B57" s="14" t="s">
        <v>48</v>
      </c>
      <c r="C57" s="27">
        <v>12.902420376350801</v>
      </c>
      <c r="D57" s="27">
        <v>38</v>
      </c>
      <c r="E57" s="27">
        <v>21.611814345991561</v>
      </c>
      <c r="F57" s="27">
        <v>28</v>
      </c>
      <c r="G57" s="27">
        <f>AVERAGE(C57:F57)</f>
        <v>25.128558680585591</v>
      </c>
    </row>
    <row r="58" spans="2:9" x14ac:dyDescent="0.25">
      <c r="B58" s="14" t="s">
        <v>49</v>
      </c>
      <c r="C58" s="27">
        <v>866277</v>
      </c>
      <c r="D58" s="27">
        <v>152174</v>
      </c>
      <c r="E58" s="27">
        <v>52862</v>
      </c>
      <c r="F58" s="27">
        <v>82128</v>
      </c>
      <c r="G58" s="27">
        <f t="shared" si="0"/>
        <v>1153441</v>
      </c>
    </row>
    <row r="59" spans="2:9" x14ac:dyDescent="0.25">
      <c r="B59" s="14" t="s">
        <v>50</v>
      </c>
      <c r="C59" s="27">
        <v>1892946.415152</v>
      </c>
      <c r="D59" s="27">
        <v>271946.349712</v>
      </c>
      <c r="E59" s="27">
        <v>109279.014238</v>
      </c>
      <c r="F59" s="27">
        <v>193336</v>
      </c>
      <c r="G59" s="11">
        <f t="shared" si="0"/>
        <v>2467507.7791019999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3702</v>
      </c>
      <c r="D67" s="27">
        <v>1954</v>
      </c>
      <c r="E67" s="27">
        <v>2022</v>
      </c>
      <c r="F67" s="27">
        <v>11303</v>
      </c>
      <c r="G67" s="27">
        <f t="shared" si="0"/>
        <v>18981</v>
      </c>
    </row>
    <row r="68" spans="2:8" x14ac:dyDescent="0.25">
      <c r="B68" s="14" t="s">
        <v>47</v>
      </c>
      <c r="C68" s="27">
        <v>3406.8509180000001</v>
      </c>
      <c r="D68" s="27">
        <v>1978.566615</v>
      </c>
      <c r="E68" s="27">
        <v>2702.6797069999998</v>
      </c>
      <c r="F68" s="27">
        <v>14944</v>
      </c>
      <c r="G68" s="27">
        <f t="shared" si="0"/>
        <v>23032.097239999999</v>
      </c>
    </row>
    <row r="69" spans="2:8" x14ac:dyDescent="0.25">
      <c r="B69" s="14" t="s">
        <v>48</v>
      </c>
      <c r="C69" s="27">
        <v>33.545380875202603</v>
      </c>
      <c r="D69" s="27">
        <v>55</v>
      </c>
      <c r="E69" s="27">
        <v>50.045994065281896</v>
      </c>
      <c r="F69" s="27">
        <v>39</v>
      </c>
      <c r="G69" s="27">
        <f>AVERAGE(C69:F69)</f>
        <v>44.397843735121121</v>
      </c>
    </row>
    <row r="70" spans="2:8" x14ac:dyDescent="0.25">
      <c r="B70" s="14" t="s">
        <v>49</v>
      </c>
      <c r="C70" s="27">
        <v>138609</v>
      </c>
      <c r="D70" s="27">
        <v>90023</v>
      </c>
      <c r="E70" s="27">
        <v>71414</v>
      </c>
      <c r="F70" s="27">
        <v>275525</v>
      </c>
      <c r="G70" s="27">
        <f t="shared" si="0"/>
        <v>575571</v>
      </c>
    </row>
    <row r="71" spans="2:8" x14ac:dyDescent="0.25">
      <c r="B71" s="14" t="s">
        <v>50</v>
      </c>
      <c r="C71" s="27">
        <v>146528.93085400001</v>
      </c>
      <c r="D71" s="27">
        <v>107674.960561</v>
      </c>
      <c r="E71" s="27">
        <v>77713.724084000001</v>
      </c>
      <c r="F71" s="27">
        <v>262106</v>
      </c>
      <c r="G71" s="11">
        <f t="shared" si="0"/>
        <v>594023.61549900007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91333</v>
      </c>
      <c r="D73" s="19">
        <f>+D67+D61+D55</f>
        <v>6160</v>
      </c>
      <c r="E73" s="19">
        <v>3207</v>
      </c>
      <c r="F73" s="19">
        <f>+F55+F67</f>
        <v>15150</v>
      </c>
      <c r="G73" s="19">
        <f>SUM(C73:F73)</f>
        <v>115850</v>
      </c>
    </row>
    <row r="74" spans="2:8" x14ac:dyDescent="0.25">
      <c r="B74" s="18" t="s">
        <v>47</v>
      </c>
      <c r="C74" s="19">
        <f>+C56+C68</f>
        <v>64574.122367000004</v>
      </c>
      <c r="D74" s="19">
        <f>+D68+D62+D56</f>
        <v>7290.3076449999799</v>
      </c>
      <c r="E74" s="19">
        <v>4636.578399</v>
      </c>
      <c r="F74" s="19">
        <f>+F56+F68</f>
        <v>24209</v>
      </c>
      <c r="G74" s="22">
        <f>SUM(C74:F74)</f>
        <v>100710.00841099999</v>
      </c>
    </row>
    <row r="75" spans="2:8" x14ac:dyDescent="0.25">
      <c r="B75" s="18" t="s">
        <v>48</v>
      </c>
      <c r="C75" s="19">
        <v>16.282103225291401</v>
      </c>
      <c r="D75" s="19">
        <f>(+D57+D63+D69)/3</f>
        <v>31</v>
      </c>
      <c r="E75" s="19">
        <v>39.539444964140941</v>
      </c>
      <c r="F75" s="19">
        <f>(F57+F69)/2</f>
        <v>33.5</v>
      </c>
      <c r="G75" s="19">
        <f>AVERAGE(C75:F75)</f>
        <v>30.080387047358087</v>
      </c>
    </row>
    <row r="76" spans="2:8" x14ac:dyDescent="0.25">
      <c r="B76" s="18" t="s">
        <v>49</v>
      </c>
      <c r="C76" s="19">
        <f>+C58+C70</f>
        <v>1004886</v>
      </c>
      <c r="D76" s="19">
        <f t="shared" ref="D76" si="1">+D70+D64+D58</f>
        <v>242197</v>
      </c>
      <c r="E76" s="19">
        <v>124276</v>
      </c>
      <c r="F76" s="19">
        <f>+F58+F70</f>
        <v>357653</v>
      </c>
      <c r="G76" s="19">
        <f>SUM(C76:F76)</f>
        <v>1729012</v>
      </c>
    </row>
    <row r="77" spans="2:8" x14ac:dyDescent="0.25">
      <c r="B77" s="18" t="s">
        <v>50</v>
      </c>
      <c r="C77" s="19">
        <f>+C59+C71</f>
        <v>2039475.3460059999</v>
      </c>
      <c r="D77" s="19">
        <f>+D71+D65+D59</f>
        <v>379621.31027299998</v>
      </c>
      <c r="E77" s="19">
        <v>186992.73832200002</v>
      </c>
      <c r="F77" s="19">
        <f>+F59+F71</f>
        <v>455442</v>
      </c>
      <c r="G77" s="22">
        <f>SUM(C77:F77)</f>
        <v>3061531.394601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113</v>
      </c>
      <c r="E84" s="24">
        <v>6</v>
      </c>
      <c r="F84" s="24">
        <v>91</v>
      </c>
      <c r="G84" s="24">
        <f>SUM(C84:F84)</f>
        <v>1192</v>
      </c>
    </row>
    <row r="85" spans="2:7" x14ac:dyDescent="0.25">
      <c r="B85" s="14" t="s">
        <v>50</v>
      </c>
      <c r="C85" s="24">
        <v>21183.543213000001</v>
      </c>
      <c r="D85" s="24">
        <v>1431</v>
      </c>
      <c r="E85" s="24">
        <v>75</v>
      </c>
      <c r="F85" s="24">
        <v>1684.2907259999999</v>
      </c>
      <c r="G85" s="11">
        <f>SUM(C85:F85)</f>
        <v>24373.833939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171.71450200000001</v>
      </c>
      <c r="D97" s="27">
        <v>0</v>
      </c>
      <c r="E97" s="27">
        <v>0</v>
      </c>
      <c r="F97" s="27">
        <v>76.936276000000007</v>
      </c>
      <c r="G97" s="11">
        <f>SUM(C97:F97)</f>
        <v>248.650778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v>113</v>
      </c>
      <c r="E102" s="19">
        <f>+E84</f>
        <v>6</v>
      </c>
      <c r="F102" s="19">
        <f>+F96+F84</f>
        <v>97</v>
      </c>
      <c r="G102" s="19">
        <f>SUM(C102:F102)</f>
        <v>1208</v>
      </c>
    </row>
    <row r="103" spans="2:8" x14ac:dyDescent="0.25">
      <c r="B103" s="18" t="s">
        <v>50</v>
      </c>
      <c r="C103" s="19">
        <f>+C97+C85</f>
        <v>21355.257715</v>
      </c>
      <c r="D103" s="19">
        <v>1431</v>
      </c>
      <c r="E103" s="19">
        <f>+E85</f>
        <v>75</v>
      </c>
      <c r="F103" s="19">
        <f>+F85+F97</f>
        <v>1761.2270019999999</v>
      </c>
      <c r="G103" s="22">
        <f>SUM(C103:F103)</f>
        <v>24622.484716999999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2.8279154949307475</v>
      </c>
      <c r="D107" s="13">
        <v>2.5499999999999998</v>
      </c>
      <c r="E107" s="13">
        <v>2.5664218455743879</v>
      </c>
      <c r="F107" s="13">
        <v>2.54</v>
      </c>
      <c r="G107" s="13">
        <f>AVERAGE(C107:F107)</f>
        <v>2.6210843351262838</v>
      </c>
    </row>
    <row r="108" spans="2:8" x14ac:dyDescent="0.25">
      <c r="B108" s="14" t="s">
        <v>60</v>
      </c>
      <c r="C108" s="13">
        <v>2.242638278527135</v>
      </c>
      <c r="D108" s="13">
        <v>2.59</v>
      </c>
      <c r="E108" s="13">
        <v>2.3597719869706841</v>
      </c>
      <c r="F108" s="13">
        <v>2.58</v>
      </c>
      <c r="G108" s="13">
        <f>AVERAGE(C108:F108)</f>
        <v>2.4431025663744546</v>
      </c>
    </row>
    <row r="109" spans="2:8" x14ac:dyDescent="0.25">
      <c r="B109" s="14" t="s">
        <v>61</v>
      </c>
      <c r="C109" s="13">
        <v>2.0343196252295153</v>
      </c>
      <c r="D109" s="13">
        <v>2.59</v>
      </c>
      <c r="E109" s="13">
        <v>2.1223931623931627</v>
      </c>
      <c r="F109" s="13">
        <v>2.58</v>
      </c>
      <c r="G109" s="13">
        <f>AVERAGE(C109:F109)</f>
        <v>2.3316781969056697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2</v>
      </c>
      <c r="D111" s="13">
        <v>1.95</v>
      </c>
      <c r="E111" s="13">
        <v>1.08</v>
      </c>
      <c r="F111" s="13">
        <v>1.8</v>
      </c>
      <c r="G111" s="13">
        <f>AVERAGE(C111:F111)</f>
        <v>1.7075</v>
      </c>
    </row>
    <row r="112" spans="2:8" x14ac:dyDescent="0.25">
      <c r="B112" s="14" t="s">
        <v>60</v>
      </c>
      <c r="C112" s="13">
        <v>1.99</v>
      </c>
      <c r="D112" s="13">
        <v>2.14</v>
      </c>
      <c r="E112" s="13">
        <v>1.83</v>
      </c>
      <c r="F112" s="13">
        <v>2.13</v>
      </c>
      <c r="G112" s="13">
        <f>AVERAGE(C112:F112)</f>
        <v>2.0225</v>
      </c>
    </row>
    <row r="113" spans="2:9" x14ac:dyDescent="0.25">
      <c r="B113" s="14" t="s">
        <v>61</v>
      </c>
      <c r="C113" s="13">
        <v>1.9882224645583462</v>
      </c>
      <c r="D113" s="13">
        <v>2.14</v>
      </c>
      <c r="E113" s="13">
        <v>1.66</v>
      </c>
      <c r="F113" s="13">
        <v>2.13</v>
      </c>
      <c r="G113" s="13">
        <f>AVERAGE(C113:F113)</f>
        <v>1.9795556161395866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1.49157720344599</v>
      </c>
      <c r="D116" s="13">
        <v>1.79</v>
      </c>
      <c r="E116" s="13">
        <v>1.4052112676056339</v>
      </c>
      <c r="F116" s="13">
        <v>1.78</v>
      </c>
      <c r="G116" s="13">
        <f>AVERAGE(C116:F116)</f>
        <v>1.6166971177629061</v>
      </c>
    </row>
    <row r="117" spans="2:9" x14ac:dyDescent="0.25">
      <c r="B117" s="14" t="s">
        <v>60</v>
      </c>
      <c r="C117" s="13">
        <v>1.7561593172119778</v>
      </c>
      <c r="D117" s="13">
        <v>1.79</v>
      </c>
      <c r="E117" s="13">
        <v>1.6152054794520549</v>
      </c>
      <c r="F117" s="13">
        <v>1.78</v>
      </c>
      <c r="G117" s="13">
        <f>AVERAGE(C117:F117)</f>
        <v>1.7353411991660084</v>
      </c>
    </row>
    <row r="118" spans="2:9" x14ac:dyDescent="0.25">
      <c r="B118" s="14" t="s">
        <v>61</v>
      </c>
      <c r="C118" s="13">
        <v>1.7161240721102811</v>
      </c>
      <c r="D118" s="13">
        <v>1.74</v>
      </c>
      <c r="E118" s="13">
        <v>1.8378884336589976</v>
      </c>
      <c r="F118" s="13">
        <v>1.74</v>
      </c>
      <c r="G118" s="13">
        <f>AVERAGE(C118:F118)</f>
        <v>1.7585031264423199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13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1.28</v>
      </c>
      <c r="F122" s="13">
        <v>1.43</v>
      </c>
      <c r="G122" s="13">
        <f>AVERAGE(C122:F122)</f>
        <v>1.3924999999999998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2</v>
      </c>
      <c r="D127" s="11">
        <v>2.099383</v>
      </c>
      <c r="E127" s="13">
        <v>2.2790958725288739</v>
      </c>
      <c r="F127" s="11">
        <v>0</v>
      </c>
      <c r="G127" s="11">
        <f>AVERAGE(C127:E127)</f>
        <v>2.126159624176291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238287</v>
      </c>
      <c r="D130" s="27">
        <v>3447</v>
      </c>
      <c r="E130" s="27">
        <v>8105</v>
      </c>
      <c r="F130" s="27">
        <v>766</v>
      </c>
      <c r="G130" s="27">
        <f>SUM(C130:F130)</f>
        <v>250605</v>
      </c>
    </row>
    <row r="131" spans="2:9" x14ac:dyDescent="0.25">
      <c r="B131" s="14" t="s">
        <v>71</v>
      </c>
      <c r="C131" s="27">
        <v>160504.70745799999</v>
      </c>
      <c r="D131" s="27">
        <v>3937</v>
      </c>
      <c r="E131" s="27">
        <v>1020</v>
      </c>
      <c r="F131" s="27">
        <v>793.28184799999997</v>
      </c>
      <c r="G131" s="11">
        <f>SUM(C131:F131)</f>
        <v>166254.989306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832666</v>
      </c>
      <c r="D134" s="27">
        <v>394721</v>
      </c>
      <c r="E134" s="27">
        <v>146604</v>
      </c>
      <c r="F134" s="27">
        <v>290470</v>
      </c>
      <c r="G134" s="27">
        <f>SUM(C134:F134)</f>
        <v>1664461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14873</v>
      </c>
      <c r="G138" s="27">
        <f>SUM(C138:F138)</f>
        <v>14873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221</v>
      </c>
      <c r="G139" s="27">
        <f>SUM(C139:F139)</f>
        <v>221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707</v>
      </c>
      <c r="E146" s="27">
        <v>0</v>
      </c>
      <c r="F146" s="1">
        <v>631</v>
      </c>
      <c r="G146" s="27">
        <f>SUM(C146:F146)</f>
        <v>1338</v>
      </c>
    </row>
    <row r="147" spans="2:8" x14ac:dyDescent="0.25">
      <c r="B147" s="14" t="s">
        <v>82</v>
      </c>
      <c r="C147" s="27">
        <v>0</v>
      </c>
      <c r="D147" s="27">
        <v>15.504</v>
      </c>
      <c r="E147" s="27">
        <v>0</v>
      </c>
      <c r="F147" s="29">
        <v>6.5577500000000004</v>
      </c>
      <c r="G147" s="11">
        <f>SUM(C147:F147)</f>
        <v>22.06175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168</v>
      </c>
      <c r="E154" s="27">
        <v>21</v>
      </c>
      <c r="F154" s="27">
        <v>0</v>
      </c>
      <c r="G154" s="27">
        <f>SUM(C154:F154)</f>
        <v>189</v>
      </c>
      <c r="H154"/>
    </row>
    <row r="155" spans="2:8" x14ac:dyDescent="0.25">
      <c r="B155" s="14" t="s">
        <v>88</v>
      </c>
      <c r="C155" s="27">
        <v>0</v>
      </c>
      <c r="D155" s="27">
        <v>2.15</v>
      </c>
      <c r="E155" s="27">
        <v>1</v>
      </c>
      <c r="F155" s="27">
        <v>0</v>
      </c>
      <c r="G155" s="11">
        <f>SUM(C155:F155)</f>
        <v>3.15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875</v>
      </c>
      <c r="E158" s="19">
        <v>21</v>
      </c>
      <c r="F158" s="19">
        <f>F146+F154</f>
        <v>631</v>
      </c>
      <c r="G158" s="19">
        <f>SUM(C158:F158)</f>
        <v>1527</v>
      </c>
    </row>
    <row r="159" spans="2:8" x14ac:dyDescent="0.25">
      <c r="B159" s="18" t="s">
        <v>91</v>
      </c>
      <c r="C159" s="19">
        <v>0</v>
      </c>
      <c r="D159" s="19">
        <v>17.654</v>
      </c>
      <c r="E159" s="19">
        <v>1</v>
      </c>
      <c r="F159" s="19">
        <f>F147+F155</f>
        <v>6.5577500000000004</v>
      </c>
      <c r="G159" s="22">
        <f>SUM(C159:F159)</f>
        <v>25.211750000000002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2601</v>
      </c>
      <c r="D162" s="27">
        <v>39641</v>
      </c>
      <c r="E162" s="27">
        <v>4820</v>
      </c>
      <c r="F162" s="27">
        <v>25306</v>
      </c>
      <c r="G162" s="27">
        <f>SUM(C162:F162)</f>
        <v>72368</v>
      </c>
    </row>
    <row r="163" spans="2:8" x14ac:dyDescent="0.25">
      <c r="B163" s="14" t="s">
        <v>88</v>
      </c>
      <c r="C163" s="27">
        <f>62744555/1000000</f>
        <v>62.744554999999998</v>
      </c>
      <c r="D163" s="27">
        <v>104.82414800000001</v>
      </c>
      <c r="E163" s="27">
        <v>75.656784999999999</v>
      </c>
      <c r="F163" s="27">
        <v>158.701223</v>
      </c>
      <c r="G163" s="11">
        <f>SUM(C163:F163)</f>
        <v>401.92671099999995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535</v>
      </c>
      <c r="D167" s="27">
        <v>3629</v>
      </c>
      <c r="E167" s="27">
        <v>50</v>
      </c>
      <c r="F167" s="27">
        <v>469</v>
      </c>
      <c r="G167" s="27">
        <f>SUM(C167:F167)</f>
        <v>4683</v>
      </c>
    </row>
    <row r="168" spans="2:8" x14ac:dyDescent="0.25">
      <c r="B168" s="14" t="s">
        <v>96</v>
      </c>
      <c r="C168" s="27">
        <f>18725000/1000000</f>
        <v>18.725000000000001</v>
      </c>
      <c r="D168" s="27">
        <v>91.406486000000001</v>
      </c>
      <c r="E168" s="14">
        <v>2.2000000000000002</v>
      </c>
      <c r="F168" s="27">
        <v>16.920000000000002</v>
      </c>
      <c r="G168" s="11">
        <f>SUM(C168:F168)</f>
        <v>129.251486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1838</v>
      </c>
      <c r="D171" s="27">
        <v>426</v>
      </c>
      <c r="E171" s="27">
        <v>106</v>
      </c>
      <c r="F171" s="27">
        <v>389</v>
      </c>
      <c r="G171" s="27">
        <f>SUM(C171:F171)</f>
        <v>2759</v>
      </c>
    </row>
    <row r="172" spans="2:8" x14ac:dyDescent="0.25">
      <c r="B172" s="14" t="s">
        <v>96</v>
      </c>
      <c r="C172" s="27">
        <f>64330000/1000000</f>
        <v>64.33</v>
      </c>
      <c r="D172" s="27">
        <v>8.9459999999999997</v>
      </c>
      <c r="E172" s="14">
        <v>2.7</v>
      </c>
      <c r="F172" s="27">
        <v>8.5020000000000007</v>
      </c>
      <c r="G172" s="11">
        <f>SUM(C172:F172)</f>
        <v>84.477999999999994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239</v>
      </c>
      <c r="D175" s="27">
        <v>317</v>
      </c>
      <c r="E175" s="14">
        <v>182</v>
      </c>
      <c r="F175" s="27">
        <v>40</v>
      </c>
      <c r="G175" s="27">
        <f>SUM(C175:F175)</f>
        <v>778</v>
      </c>
    </row>
    <row r="176" spans="2:8" x14ac:dyDescent="0.25">
      <c r="B176" s="14" t="s">
        <v>96</v>
      </c>
      <c r="C176" s="27">
        <f>24710000/1000000</f>
        <v>24.71</v>
      </c>
      <c r="D176" s="27">
        <v>33.51</v>
      </c>
      <c r="E176" s="60">
        <v>10.41</v>
      </c>
      <c r="F176" s="27">
        <v>3.92</v>
      </c>
      <c r="G176" s="11">
        <f>SUM(C176:F176)</f>
        <v>72.55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270</v>
      </c>
      <c r="D179" s="27">
        <v>185840</v>
      </c>
      <c r="E179" s="27">
        <v>0</v>
      </c>
      <c r="F179" s="27">
        <v>0</v>
      </c>
      <c r="G179" s="27">
        <f>SUM(C179:F179)</f>
        <v>186110</v>
      </c>
    </row>
    <row r="180" spans="2:8" x14ac:dyDescent="0.25">
      <c r="B180" s="14" t="s">
        <v>96</v>
      </c>
      <c r="C180" s="27">
        <f>10945000/1000000</f>
        <v>10.945</v>
      </c>
      <c r="D180" s="27">
        <v>3762.0575645183799</v>
      </c>
      <c r="E180" s="27">
        <v>0</v>
      </c>
      <c r="F180" s="27">
        <v>0</v>
      </c>
      <c r="G180" s="11">
        <f>SUM(C180:F180)</f>
        <v>3773.00256451838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2882</v>
      </c>
      <c r="D183" s="19">
        <v>190212</v>
      </c>
      <c r="E183" s="19">
        <f>E167+E171+E175+E179</f>
        <v>338</v>
      </c>
      <c r="F183" s="19">
        <f>+F179+F175+F171+F167</f>
        <v>898</v>
      </c>
      <c r="G183" s="19">
        <f>SUM(C183:F183)</f>
        <v>194330</v>
      </c>
    </row>
    <row r="184" spans="2:8" x14ac:dyDescent="0.25">
      <c r="B184" s="18" t="s">
        <v>103</v>
      </c>
      <c r="C184" s="19">
        <f>+C180+C176+C172+C168</f>
        <v>118.71000000000001</v>
      </c>
      <c r="D184" s="19">
        <v>3895.9200505183799</v>
      </c>
      <c r="E184" s="19">
        <f>E168+E172+E176+E180</f>
        <v>15.31</v>
      </c>
      <c r="F184" s="19">
        <f>+F180+F176+F172+F168</f>
        <v>29.342000000000002</v>
      </c>
      <c r="G184" s="22">
        <f>SUM(C184:F184)</f>
        <v>4059.2820505183799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1314</v>
      </c>
      <c r="D187" s="27">
        <v>8589</v>
      </c>
      <c r="E187" s="27">
        <v>56</v>
      </c>
      <c r="F187" s="27">
        <f>F166+F171+F175+F179+F162</f>
        <v>25735</v>
      </c>
      <c r="G187" s="27">
        <f>SUM(C187:F187)</f>
        <v>35694</v>
      </c>
    </row>
    <row r="188" spans="2:8" x14ac:dyDescent="0.25">
      <c r="B188" s="14" t="s">
        <v>106</v>
      </c>
      <c r="C188" s="27">
        <f>15231165/1000000</f>
        <v>15.231165000000001</v>
      </c>
      <c r="D188" s="27">
        <v>367.21933499999994</v>
      </c>
      <c r="E188" s="11">
        <v>2.21</v>
      </c>
      <c r="F188" s="27">
        <f>F167+F172+F176+F180+F163</f>
        <v>640.12322300000005</v>
      </c>
      <c r="G188" s="11">
        <f>SUM(C188:F188)</f>
        <v>1024.783723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6797</v>
      </c>
      <c r="D191" s="19">
        <v>239317</v>
      </c>
      <c r="E191" s="19">
        <f>+E162+E183+E187</f>
        <v>5214</v>
      </c>
      <c r="F191" s="19">
        <f>F158+F162+F183+F187</f>
        <v>52570</v>
      </c>
      <c r="G191" s="19">
        <f>SUM(C191:F191)</f>
        <v>303898</v>
      </c>
    </row>
    <row r="192" spans="2:8" x14ac:dyDescent="0.25">
      <c r="B192" s="18" t="s">
        <v>109</v>
      </c>
      <c r="C192" s="19">
        <f>C188+C163+C184</f>
        <v>196.68572</v>
      </c>
      <c r="D192" s="19">
        <v>4385.6175335183798</v>
      </c>
      <c r="E192" s="19">
        <v>93.176784999999995</v>
      </c>
      <c r="F192" s="19">
        <f>F159+F184+F163+F188</f>
        <v>834.72419600000012</v>
      </c>
      <c r="G192" s="22">
        <f>SUM(C192:F192)</f>
        <v>5510.20423451838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6"/>
  <sheetViews>
    <sheetView zoomScaleNormal="100" workbookViewId="0">
      <selection activeCell="B128" sqref="B128:H128"/>
    </sheetView>
  </sheetViews>
  <sheetFormatPr baseColWidth="10" defaultColWidth="9.140625" defaultRowHeight="15" x14ac:dyDescent="0.25"/>
  <cols>
    <col min="1" max="1" width="2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55219</v>
      </c>
      <c r="D6" s="12">
        <v>8149</v>
      </c>
      <c r="E6" s="12">
        <v>8087</v>
      </c>
      <c r="F6" s="12">
        <v>9764</v>
      </c>
      <c r="G6" s="12">
        <f>+F6+E6+D6+C6</f>
        <v>81219</v>
      </c>
    </row>
    <row r="7" spans="1:7" x14ac:dyDescent="0.25">
      <c r="B7" s="14" t="s">
        <v>10</v>
      </c>
      <c r="C7" s="12">
        <v>555</v>
      </c>
      <c r="D7" s="12">
        <v>250</v>
      </c>
      <c r="E7" s="12">
        <v>24</v>
      </c>
      <c r="F7" s="12">
        <v>143</v>
      </c>
      <c r="G7" s="12">
        <f>+F7+E7+D7+C7</f>
        <v>972</v>
      </c>
    </row>
    <row r="8" spans="1:7" x14ac:dyDescent="0.25">
      <c r="B8" s="18" t="s">
        <v>11</v>
      </c>
      <c r="C8" s="25">
        <v>55774</v>
      </c>
      <c r="D8" s="25">
        <v>8399</v>
      </c>
      <c r="E8" s="25">
        <v>8111</v>
      </c>
      <c r="F8" s="25">
        <v>9907</v>
      </c>
      <c r="G8" s="25">
        <f>+F8+E8+D8+C8</f>
        <v>82191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771335</v>
      </c>
      <c r="D12" s="12">
        <v>100960</v>
      </c>
      <c r="E12" s="12">
        <v>40611</v>
      </c>
      <c r="F12" s="12">
        <v>0</v>
      </c>
      <c r="G12" s="17">
        <f>SUM(C12:F12)</f>
        <v>912906</v>
      </c>
    </row>
    <row r="13" spans="1:7" x14ac:dyDescent="0.25">
      <c r="B13" s="16" t="s">
        <v>15</v>
      </c>
      <c r="C13" s="12">
        <v>2533651</v>
      </c>
      <c r="D13" s="12">
        <v>562242</v>
      </c>
      <c r="E13" s="12">
        <v>229064</v>
      </c>
      <c r="F13" s="12">
        <v>0</v>
      </c>
      <c r="G13" s="17">
        <f>SUM(C13:F13)</f>
        <v>3324957</v>
      </c>
    </row>
    <row r="14" spans="1:7" x14ac:dyDescent="0.25">
      <c r="B14" s="18" t="s">
        <v>16</v>
      </c>
      <c r="C14" s="25">
        <v>3304986</v>
      </c>
      <c r="D14" s="25">
        <v>952486</v>
      </c>
      <c r="E14" s="25">
        <v>269675</v>
      </c>
      <c r="F14" s="25">
        <v>345948</v>
      </c>
      <c r="G14" s="19">
        <f>SUM(C14:F14)</f>
        <v>4873095</v>
      </c>
    </row>
    <row r="15" spans="1:7" x14ac:dyDescent="0.25">
      <c r="B15" s="18" t="s">
        <v>17</v>
      </c>
      <c r="C15" s="25">
        <v>532081</v>
      </c>
      <c r="D15" s="25">
        <v>170884</v>
      </c>
      <c r="E15" s="25">
        <v>3367</v>
      </c>
      <c r="F15" s="25">
        <v>148609</v>
      </c>
      <c r="G15" s="19">
        <f>SUM(C15:F15)</f>
        <v>854941</v>
      </c>
    </row>
    <row r="16" spans="1:7" x14ac:dyDescent="0.25">
      <c r="B16" s="18" t="s">
        <v>18</v>
      </c>
      <c r="C16" s="25">
        <v>3837067</v>
      </c>
      <c r="D16" s="25">
        <v>1123370</v>
      </c>
      <c r="E16" s="25">
        <v>273042</v>
      </c>
      <c r="F16" s="25">
        <v>494557</v>
      </c>
      <c r="G16" s="19">
        <f>SUM(C16:F16)</f>
        <v>5728036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v>3840540</v>
      </c>
      <c r="D21" s="19">
        <v>1123374</v>
      </c>
      <c r="E21" s="19">
        <v>273042</v>
      </c>
      <c r="F21" s="19">
        <f>F16</f>
        <v>494557</v>
      </c>
      <c r="G21" s="19">
        <f>SUM(C21:F21)</f>
        <v>5731513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409229</v>
      </c>
      <c r="D24" s="19">
        <v>206758</v>
      </c>
      <c r="E24" s="19">
        <v>151972</v>
      </c>
      <c r="F24" s="19">
        <v>685607</v>
      </c>
      <c r="G24" s="19">
        <f>SUM(C24:F24)</f>
        <v>1453566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4249769</v>
      </c>
      <c r="D27" s="19">
        <f>+D24+D21</f>
        <v>1330132</v>
      </c>
      <c r="E27" s="19">
        <f>+E21+E24</f>
        <v>425014</v>
      </c>
      <c r="F27" s="19">
        <f>+F24+F21</f>
        <v>1180164</v>
      </c>
      <c r="G27" s="19">
        <f>SUM(C27:F27)</f>
        <v>7185079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1290948</v>
      </c>
      <c r="D30" s="27">
        <v>129973</v>
      </c>
      <c r="E30" s="27">
        <v>77244</v>
      </c>
      <c r="F30" s="27">
        <v>197986</v>
      </c>
      <c r="G30" s="27">
        <f>SUM(C30:F30)</f>
        <v>1696151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4342133849977</v>
      </c>
      <c r="D33" s="27">
        <v>688940339735</v>
      </c>
      <c r="E33" s="27">
        <v>288589951334</v>
      </c>
      <c r="F33" s="27">
        <v>502377637894</v>
      </c>
      <c r="G33" s="27">
        <f>SUM(C33:F33)</f>
        <v>5822041778940</v>
      </c>
    </row>
    <row r="34" spans="2:9" x14ac:dyDescent="0.25">
      <c r="B34" s="14" t="s">
        <v>30</v>
      </c>
      <c r="C34" s="27">
        <v>174739523780</v>
      </c>
      <c r="D34" s="27">
        <v>73648185220</v>
      </c>
      <c r="E34" s="27">
        <v>46716724100</v>
      </c>
      <c r="F34" s="27">
        <v>209735422341</v>
      </c>
      <c r="G34" s="27">
        <f>SUM(C34:F34)</f>
        <v>504839855441</v>
      </c>
    </row>
    <row r="35" spans="2:9" x14ac:dyDescent="0.25">
      <c r="B35" s="39" t="s">
        <v>31</v>
      </c>
      <c r="C35" s="19">
        <v>4516873373757</v>
      </c>
      <c r="D35" s="19">
        <v>762588524955</v>
      </c>
      <c r="E35" s="19">
        <v>335306675434</v>
      </c>
      <c r="F35" s="19">
        <v>712113060235</v>
      </c>
      <c r="G35" s="40">
        <f>SUM(C35:F35)</f>
        <v>6326881634381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779485</v>
      </c>
      <c r="D40" s="27">
        <v>117104</v>
      </c>
      <c r="E40" s="27">
        <v>50700</v>
      </c>
      <c r="F40" s="27">
        <v>70437</v>
      </c>
      <c r="G40" s="27">
        <f>SUM(C40:F40)</f>
        <v>1017726</v>
      </c>
      <c r="H40" s="7"/>
      <c r="I40" s="7"/>
    </row>
    <row r="41" spans="2:9" x14ac:dyDescent="0.25">
      <c r="B41" s="14" t="s">
        <v>36</v>
      </c>
      <c r="C41" s="27">
        <f>5081534821/1000000</f>
        <v>5081.5348210000002</v>
      </c>
      <c r="D41" s="27">
        <v>1309.7530260000001</v>
      </c>
      <c r="E41" s="27">
        <v>556.6</v>
      </c>
      <c r="F41" s="12">
        <v>736.80748600000004</v>
      </c>
      <c r="G41" s="11">
        <f>SUM(C41:F41)</f>
        <v>7684.6953330000006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12">
        <v>3</v>
      </c>
      <c r="D44" s="12">
        <v>1</v>
      </c>
      <c r="E44" s="12">
        <v>0</v>
      </c>
      <c r="F44" s="27">
        <v>0</v>
      </c>
      <c r="G44" s="27">
        <f>SUM(C44:F44)</f>
        <v>4</v>
      </c>
      <c r="H44" s="7"/>
      <c r="I44" s="7"/>
    </row>
    <row r="45" spans="2:9" x14ac:dyDescent="0.25">
      <c r="B45" s="14" t="s">
        <v>39</v>
      </c>
      <c r="C45" s="12">
        <f>4791091/1000000</f>
        <v>4.7910909999999998</v>
      </c>
      <c r="D45" s="12">
        <v>8.6689999999999996E-3</v>
      </c>
      <c r="E45" s="12">
        <v>0</v>
      </c>
      <c r="F45" s="27">
        <v>0</v>
      </c>
      <c r="G45" s="11">
        <f>SUM(C45:F45)</f>
        <v>4.79976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122665</v>
      </c>
      <c r="D48" s="27">
        <v>71908</v>
      </c>
      <c r="E48" s="27">
        <v>15119</v>
      </c>
      <c r="F48" s="27">
        <v>68374</v>
      </c>
      <c r="G48" s="27">
        <f>SUM(C48:F48)</f>
        <v>278066</v>
      </c>
      <c r="H48" s="7"/>
      <c r="I48" s="7"/>
    </row>
    <row r="49" spans="2:9" x14ac:dyDescent="0.25">
      <c r="B49" s="14" t="s">
        <v>42</v>
      </c>
      <c r="C49" s="27">
        <f>(103149278126+2055897602)/1000000</f>
        <v>105205.175728</v>
      </c>
      <c r="D49" s="27">
        <v>28758</v>
      </c>
      <c r="E49" s="27">
        <v>13270.415000000001</v>
      </c>
      <c r="F49" s="12">
        <v>14589.719705</v>
      </c>
      <c r="G49" s="11">
        <f>SUM(C49:F49)</f>
        <v>161823.31043300001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12">
        <v>99135</v>
      </c>
      <c r="D55" s="12">
        <v>6401</v>
      </c>
      <c r="E55" s="12">
        <v>1456</v>
      </c>
      <c r="F55" s="12">
        <v>5131</v>
      </c>
      <c r="G55" s="27">
        <f t="shared" ref="G55:G71" si="0">SUM(C55:F55)</f>
        <v>112123</v>
      </c>
    </row>
    <row r="56" spans="2:9" x14ac:dyDescent="0.25">
      <c r="B56" s="14" t="s">
        <v>47</v>
      </c>
      <c r="C56" s="12">
        <v>84244.873084999999</v>
      </c>
      <c r="D56" s="12">
        <v>9781.1001520001701</v>
      </c>
      <c r="E56" s="12">
        <v>2130.0169729999998</v>
      </c>
      <c r="F56" s="12">
        <v>13159</v>
      </c>
      <c r="G56" s="27">
        <f t="shared" si="0"/>
        <v>109314.99021000018</v>
      </c>
    </row>
    <row r="57" spans="2:9" x14ac:dyDescent="0.25">
      <c r="B57" s="14" t="s">
        <v>48</v>
      </c>
      <c r="C57" s="12">
        <v>14.774963433701499</v>
      </c>
      <c r="D57" s="12">
        <v>39</v>
      </c>
      <c r="E57" s="12">
        <v>19.897664835164836</v>
      </c>
      <c r="F57" s="12">
        <v>29</v>
      </c>
      <c r="G57" s="27">
        <f>AVERAGE(C57:F57)</f>
        <v>25.668157067216583</v>
      </c>
    </row>
    <row r="58" spans="2:9" x14ac:dyDescent="0.25">
      <c r="B58" s="14" t="s">
        <v>49</v>
      </c>
      <c r="C58" s="12">
        <v>886410</v>
      </c>
      <c r="D58" s="12">
        <v>155349</v>
      </c>
      <c r="E58" s="12">
        <v>53217</v>
      </c>
      <c r="F58" s="12">
        <v>83623</v>
      </c>
      <c r="G58" s="27">
        <f t="shared" si="0"/>
        <v>1178599</v>
      </c>
    </row>
    <row r="59" spans="2:9" x14ac:dyDescent="0.25">
      <c r="B59" s="14" t="s">
        <v>50</v>
      </c>
      <c r="C59" s="12">
        <v>1936194.83534</v>
      </c>
      <c r="D59" s="12">
        <v>278046.47422899998</v>
      </c>
      <c r="E59" s="12">
        <v>109233.76270200001</v>
      </c>
      <c r="F59" s="12">
        <v>196276</v>
      </c>
      <c r="G59" s="11">
        <f t="shared" si="0"/>
        <v>2519751.0722709997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12">
        <v>4725</v>
      </c>
      <c r="D67" s="12">
        <v>2254</v>
      </c>
      <c r="E67" s="12">
        <v>1931</v>
      </c>
      <c r="F67" s="12">
        <v>13638</v>
      </c>
      <c r="G67" s="27">
        <f t="shared" si="0"/>
        <v>22548</v>
      </c>
    </row>
    <row r="68" spans="2:8" x14ac:dyDescent="0.25">
      <c r="B68" s="14" t="s">
        <v>47</v>
      </c>
      <c r="C68" s="12">
        <v>4334.8203549999998</v>
      </c>
      <c r="D68" s="12">
        <v>2408.3763610000101</v>
      </c>
      <c r="E68" s="12">
        <v>2281.5546159999999</v>
      </c>
      <c r="F68" s="12">
        <v>18095</v>
      </c>
      <c r="G68" s="27">
        <f t="shared" si="0"/>
        <v>27119.751332000007</v>
      </c>
    </row>
    <row r="69" spans="2:8" x14ac:dyDescent="0.25">
      <c r="B69" s="14" t="s">
        <v>48</v>
      </c>
      <c r="C69" s="12">
        <v>33.426666666666698</v>
      </c>
      <c r="D69" s="12">
        <v>55</v>
      </c>
      <c r="E69" s="12">
        <v>50.518384256861729</v>
      </c>
      <c r="F69" s="12">
        <v>38</v>
      </c>
      <c r="G69" s="27">
        <f>AVERAGE(C69:F69)</f>
        <v>44.23626273088211</v>
      </c>
    </row>
    <row r="70" spans="2:8" x14ac:dyDescent="0.25">
      <c r="B70" s="14" t="s">
        <v>49</v>
      </c>
      <c r="C70" s="12">
        <v>139706</v>
      </c>
      <c r="D70" s="12">
        <v>90948</v>
      </c>
      <c r="E70" s="12">
        <v>72673</v>
      </c>
      <c r="F70" s="12">
        <v>278278</v>
      </c>
      <c r="G70" s="27">
        <f t="shared" si="0"/>
        <v>581605</v>
      </c>
    </row>
    <row r="71" spans="2:8" x14ac:dyDescent="0.25">
      <c r="B71" s="14" t="s">
        <v>50</v>
      </c>
      <c r="C71" s="12">
        <v>148632.334569</v>
      </c>
      <c r="D71" s="12">
        <v>109260.893755</v>
      </c>
      <c r="E71" s="12">
        <v>79265.354716000002</v>
      </c>
      <c r="F71" s="12">
        <v>265297</v>
      </c>
      <c r="G71" s="11">
        <f t="shared" si="0"/>
        <v>602455.58303999994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103860</v>
      </c>
      <c r="D73" s="19">
        <v>8655</v>
      </c>
      <c r="E73" s="19">
        <v>3387</v>
      </c>
      <c r="F73" s="19">
        <v>18769</v>
      </c>
      <c r="G73" s="19">
        <f>SUM(C73:F73)</f>
        <v>134671</v>
      </c>
    </row>
    <row r="74" spans="2:8" x14ac:dyDescent="0.25">
      <c r="B74" s="18" t="s">
        <v>47</v>
      </c>
      <c r="C74" s="19">
        <f>+C56+C68</f>
        <v>88579.693440000003</v>
      </c>
      <c r="D74" s="19">
        <v>12189.47651300018</v>
      </c>
      <c r="E74" s="19">
        <v>4411.5715889999992</v>
      </c>
      <c r="F74" s="19">
        <v>31254</v>
      </c>
      <c r="G74" s="22">
        <f>SUM(C74:F74)</f>
        <v>136434.74154200018</v>
      </c>
    </row>
    <row r="75" spans="2:8" x14ac:dyDescent="0.25">
      <c r="B75" s="18" t="s">
        <v>48</v>
      </c>
      <c r="C75" s="19">
        <v>18.377500734874602</v>
      </c>
      <c r="D75" s="19">
        <v>31.333333333333332</v>
      </c>
      <c r="E75" s="19">
        <v>37.355181576616474</v>
      </c>
      <c r="F75" s="19">
        <v>33.5</v>
      </c>
      <c r="G75" s="19">
        <f>AVERAGE(C75:F75)</f>
        <v>30.141503911206101</v>
      </c>
    </row>
    <row r="76" spans="2:8" x14ac:dyDescent="0.25">
      <c r="B76" s="18" t="s">
        <v>49</v>
      </c>
      <c r="C76" s="19">
        <f>+C58+C70</f>
        <v>1026116</v>
      </c>
      <c r="D76" s="19">
        <v>246297</v>
      </c>
      <c r="E76" s="19">
        <v>125890</v>
      </c>
      <c r="F76" s="19">
        <v>361901</v>
      </c>
      <c r="G76" s="19">
        <f>SUM(C76:F76)</f>
        <v>1760204</v>
      </c>
    </row>
    <row r="77" spans="2:8" x14ac:dyDescent="0.25">
      <c r="B77" s="18" t="s">
        <v>50</v>
      </c>
      <c r="C77" s="19">
        <f>+C59+C71</f>
        <v>2084827.1699089999</v>
      </c>
      <c r="D77" s="19">
        <v>387307.36798400001</v>
      </c>
      <c r="E77" s="19">
        <v>188499.11741800001</v>
      </c>
      <c r="F77" s="19">
        <v>461573</v>
      </c>
      <c r="G77" s="22">
        <f>SUM(C77:F77)</f>
        <v>3122206.6553110001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980</v>
      </c>
      <c r="D84" s="24">
        <v>113</v>
      </c>
      <c r="E84" s="24">
        <v>6</v>
      </c>
      <c r="F84" s="24">
        <v>91</v>
      </c>
      <c r="G84" s="24">
        <f>SUM(C84:F84)</f>
        <v>1190</v>
      </c>
    </row>
    <row r="85" spans="2:7" x14ac:dyDescent="0.25">
      <c r="B85" s="14" t="s">
        <v>50</v>
      </c>
      <c r="C85" s="24">
        <v>21089.245821</v>
      </c>
      <c r="D85" s="24">
        <v>1430</v>
      </c>
      <c r="E85" s="24">
        <v>75</v>
      </c>
      <c r="F85" s="27">
        <v>1671.7858550000001</v>
      </c>
      <c r="G85" s="11">
        <f>SUM(C85:F85)</f>
        <v>24266.031675999999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170.79396700000001</v>
      </c>
      <c r="D97" s="24">
        <v>0</v>
      </c>
      <c r="E97" s="24">
        <v>0</v>
      </c>
      <c r="F97" s="24">
        <v>76.814099999999996</v>
      </c>
      <c r="G97" s="11">
        <f>SUM(C97:F97)</f>
        <v>247.60806700000001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990</v>
      </c>
      <c r="D102" s="45">
        <v>113</v>
      </c>
      <c r="E102" s="45">
        <f>+E84</f>
        <v>6</v>
      </c>
      <c r="F102" s="45">
        <f>+F96+F84</f>
        <v>97</v>
      </c>
      <c r="G102" s="19">
        <f>SUM(C102:F102)</f>
        <v>1206</v>
      </c>
    </row>
    <row r="103" spans="2:8" x14ac:dyDescent="0.25">
      <c r="B103" s="18" t="s">
        <v>50</v>
      </c>
      <c r="C103" s="45">
        <f>+C97+C85</f>
        <v>21260.039788000002</v>
      </c>
      <c r="D103" s="45">
        <v>1430</v>
      </c>
      <c r="E103" s="45">
        <f>+E85</f>
        <v>75</v>
      </c>
      <c r="F103" s="43">
        <f>+F85+F97</f>
        <v>1748.5999550000001</v>
      </c>
      <c r="G103" s="22">
        <f>SUM(C103:F103)</f>
        <v>24513.639743000003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2.8102631783273737</v>
      </c>
      <c r="D107" s="13">
        <v>2.5499999999999998</v>
      </c>
      <c r="E107" s="30">
        <v>2.8527542372881358</v>
      </c>
      <c r="F107" s="13">
        <v>2.54</v>
      </c>
      <c r="G107" s="13">
        <f>AVERAGE(C107:F107)</f>
        <v>2.6882543539038775</v>
      </c>
    </row>
    <row r="108" spans="2:8" x14ac:dyDescent="0.25">
      <c r="B108" s="14" t="s">
        <v>60</v>
      </c>
      <c r="C108" s="13">
        <v>2.2272689443713438</v>
      </c>
      <c r="D108" s="13">
        <v>2.59</v>
      </c>
      <c r="E108" s="30">
        <v>2.6284910485933506</v>
      </c>
      <c r="F108" s="13">
        <v>2.58</v>
      </c>
      <c r="G108" s="13">
        <f>AVERAGE(C108:F108)</f>
        <v>2.5064399982411736</v>
      </c>
    </row>
    <row r="109" spans="2:8" x14ac:dyDescent="0.25">
      <c r="B109" s="14" t="s">
        <v>61</v>
      </c>
      <c r="C109" s="13">
        <v>2.035583751445992</v>
      </c>
      <c r="D109" s="13">
        <v>2.59</v>
      </c>
      <c r="E109" s="30">
        <v>2.6309473684210527</v>
      </c>
      <c r="F109" s="13">
        <v>2.58</v>
      </c>
      <c r="G109" s="13">
        <f>AVERAGE(C109:F109)</f>
        <v>2.4591327799667613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2</v>
      </c>
      <c r="D111" s="13">
        <v>1.95</v>
      </c>
      <c r="E111" s="30">
        <v>1.8</v>
      </c>
      <c r="F111" s="30">
        <v>1.8</v>
      </c>
      <c r="G111" s="13">
        <f>AVERAGE(C111:F111)</f>
        <v>1.8875</v>
      </c>
    </row>
    <row r="112" spans="2:8" x14ac:dyDescent="0.25">
      <c r="B112" s="14" t="s">
        <v>60</v>
      </c>
      <c r="C112" s="13">
        <v>1.9900000000000038</v>
      </c>
      <c r="D112" s="13">
        <v>2.13</v>
      </c>
      <c r="E112" s="30">
        <v>2.0915789473684212</v>
      </c>
      <c r="F112" s="13">
        <v>2.12</v>
      </c>
      <c r="G112" s="13">
        <f>AVERAGE(C112:F112)</f>
        <v>2.082894736842106</v>
      </c>
    </row>
    <row r="113" spans="2:9" x14ac:dyDescent="0.25">
      <c r="B113" s="14" t="s">
        <v>61</v>
      </c>
      <c r="C113" s="13">
        <v>1.9774899860675583</v>
      </c>
      <c r="D113" s="13">
        <v>2.13</v>
      </c>
      <c r="E113" s="30">
        <v>2.0877777777777777</v>
      </c>
      <c r="F113" s="13">
        <v>2.12</v>
      </c>
      <c r="G113" s="13">
        <f>AVERAGE(C113:F113)</f>
        <v>2.0788169409613344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1.4787413701540246</v>
      </c>
      <c r="D116" s="13">
        <v>1.79</v>
      </c>
      <c r="E116" s="30">
        <v>1.9502830188679245</v>
      </c>
      <c r="F116" s="13">
        <v>1.78</v>
      </c>
      <c r="G116" s="13">
        <f>AVERAGE(C116:F116)</f>
        <v>1.7497560972554873</v>
      </c>
    </row>
    <row r="117" spans="2:9" x14ac:dyDescent="0.25">
      <c r="B117" s="14" t="s">
        <v>60</v>
      </c>
      <c r="C117" s="13">
        <v>1.7458381808567593</v>
      </c>
      <c r="D117" s="13">
        <v>1.79</v>
      </c>
      <c r="E117" s="30">
        <v>1.9445522388059699</v>
      </c>
      <c r="F117" s="13">
        <v>1.78</v>
      </c>
      <c r="G117" s="13">
        <f>AVERAGE(C117:F117)</f>
        <v>1.8150976049156824</v>
      </c>
    </row>
    <row r="118" spans="2:9" x14ac:dyDescent="0.25">
      <c r="B118" s="14" t="s">
        <v>61</v>
      </c>
      <c r="C118" s="13">
        <v>1.7137486041317849</v>
      </c>
      <c r="D118" s="13">
        <v>1.74</v>
      </c>
      <c r="E118" s="30">
        <v>1.9896942204301076</v>
      </c>
      <c r="F118" s="13">
        <v>1.74</v>
      </c>
      <c r="G118" s="13">
        <f>AVERAGE(C118:F118)</f>
        <v>1.795860706140473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1.27</v>
      </c>
      <c r="D120" s="13">
        <v>1.43</v>
      </c>
      <c r="E120" s="30">
        <v>0</v>
      </c>
      <c r="F120" s="13">
        <v>1.2</v>
      </c>
      <c r="G120" s="13">
        <f>AVERAGE(C120:F120)</f>
        <v>0.97500000000000009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1.5750819672131147</v>
      </c>
      <c r="F122" s="13">
        <v>1.43</v>
      </c>
      <c r="G122" s="13">
        <f>AVERAGE(C122:F122)</f>
        <v>1.4662704918032785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37">
        <v>2</v>
      </c>
      <c r="D127" s="37">
        <v>2.1056550000000001</v>
      </c>
      <c r="E127" s="33">
        <v>2.2753869080392048</v>
      </c>
      <c r="F127" s="4">
        <v>0</v>
      </c>
      <c r="G127" s="11">
        <f>AVERAGE(C127:E127)</f>
        <v>2.1270139693464016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238401</v>
      </c>
      <c r="D130" s="27">
        <v>3447</v>
      </c>
      <c r="E130" s="27">
        <v>8103</v>
      </c>
      <c r="F130" s="27">
        <v>766</v>
      </c>
      <c r="G130" s="27">
        <f>SUM(C130:F130)</f>
        <v>250717</v>
      </c>
    </row>
    <row r="131" spans="2:9" x14ac:dyDescent="0.25">
      <c r="B131" s="14" t="s">
        <v>71</v>
      </c>
      <c r="C131" s="27">
        <v>159261.653028</v>
      </c>
      <c r="D131" s="27">
        <v>3897</v>
      </c>
      <c r="E131" s="27">
        <v>977</v>
      </c>
      <c r="F131" s="27">
        <v>777.33605499999999</v>
      </c>
      <c r="G131" s="11">
        <f>SUM(C131:F131)</f>
        <v>164912.98908299999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837717</v>
      </c>
      <c r="D134" s="27">
        <v>400008</v>
      </c>
      <c r="E134" s="27">
        <v>146107</v>
      </c>
      <c r="F134" s="27">
        <v>344828</v>
      </c>
      <c r="G134" s="27">
        <f>SUM(C134:F134)</f>
        <v>1728660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15045</v>
      </c>
      <c r="G138" s="27">
        <f>SUM(C138:F138)</f>
        <v>15045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229</v>
      </c>
      <c r="G139" s="27">
        <f>SUM(C139:F139)</f>
        <v>229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881</v>
      </c>
      <c r="E146" s="27">
        <v>0</v>
      </c>
      <c r="F146" s="27">
        <v>1571</v>
      </c>
      <c r="G146" s="27">
        <f>SUM(C146:F146)</f>
        <v>2452</v>
      </c>
    </row>
    <row r="147" spans="2:8" x14ac:dyDescent="0.25">
      <c r="B147" s="14" t="s">
        <v>82</v>
      </c>
      <c r="C147" s="27">
        <v>0</v>
      </c>
      <c r="D147" s="27">
        <v>19.329999999999998</v>
      </c>
      <c r="E147" s="27">
        <v>0</v>
      </c>
      <c r="F147" s="27">
        <v>16.204750000000001</v>
      </c>
      <c r="G147" s="11">
        <f>SUM(C147:F147)</f>
        <v>35.534750000000003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372</v>
      </c>
      <c r="E154" s="35">
        <v>0</v>
      </c>
      <c r="F154" s="34">
        <v>0</v>
      </c>
      <c r="G154" s="27">
        <f>SUM(C154:F154)</f>
        <v>372</v>
      </c>
      <c r="H154"/>
    </row>
    <row r="155" spans="2:8" x14ac:dyDescent="0.25">
      <c r="B155" s="14" t="s">
        <v>88</v>
      </c>
      <c r="C155" s="11">
        <v>0</v>
      </c>
      <c r="D155" s="27">
        <v>5.95</v>
      </c>
      <c r="E155" s="35">
        <v>0</v>
      </c>
      <c r="F155" s="34">
        <v>0</v>
      </c>
      <c r="G155" s="11">
        <f>SUM(C155:F155)</f>
        <v>5.95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1257</v>
      </c>
      <c r="E158" s="19">
        <v>0</v>
      </c>
      <c r="F158" s="19">
        <f>F146+F154</f>
        <v>1571</v>
      </c>
      <c r="G158" s="19">
        <f>SUM(C158:F158)</f>
        <v>2828</v>
      </c>
    </row>
    <row r="159" spans="2:8" x14ac:dyDescent="0.25">
      <c r="B159" s="18" t="s">
        <v>91</v>
      </c>
      <c r="C159" s="19">
        <v>0</v>
      </c>
      <c r="D159" s="19">
        <v>25.563999999999997</v>
      </c>
      <c r="E159" s="19">
        <v>0</v>
      </c>
      <c r="F159" s="19">
        <f>F147+F155</f>
        <v>16.204750000000001</v>
      </c>
      <c r="G159" s="22">
        <f>SUM(C159:F159)</f>
        <v>41.768749999999997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2813</v>
      </c>
      <c r="D162" s="27">
        <v>51192</v>
      </c>
      <c r="E162" s="27">
        <v>7026</v>
      </c>
      <c r="F162" s="27">
        <v>34379</v>
      </c>
      <c r="G162" s="27">
        <f>SUM(C162:F162)</f>
        <v>95410</v>
      </c>
    </row>
    <row r="163" spans="2:8" x14ac:dyDescent="0.25">
      <c r="B163" s="14" t="s">
        <v>88</v>
      </c>
      <c r="C163" s="27">
        <f>68108861/1000000</f>
        <v>68.108861000000005</v>
      </c>
      <c r="D163" s="27">
        <v>86.501646999999991</v>
      </c>
      <c r="E163" s="27">
        <v>109.55537699999999</v>
      </c>
      <c r="F163" s="27">
        <v>229.88298399999999</v>
      </c>
      <c r="G163" s="11">
        <f>SUM(C163:F163)</f>
        <v>494.04886899999997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882</v>
      </c>
      <c r="D167" s="27">
        <v>3884</v>
      </c>
      <c r="E167" s="27">
        <v>65</v>
      </c>
      <c r="F167" s="27">
        <v>601</v>
      </c>
      <c r="G167" s="27">
        <f>SUM(C167:F167)</f>
        <v>5432</v>
      </c>
    </row>
    <row r="168" spans="2:8" x14ac:dyDescent="0.25">
      <c r="B168" s="14" t="s">
        <v>96</v>
      </c>
      <c r="C168" s="27">
        <f>30870000/1000000</f>
        <v>30.87</v>
      </c>
      <c r="D168" s="27">
        <v>94.396374000000009</v>
      </c>
      <c r="E168" s="27">
        <v>3.6</v>
      </c>
      <c r="F168" s="27">
        <v>22.76</v>
      </c>
      <c r="G168" s="11">
        <f>SUM(C168:F168)</f>
        <v>151.626374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2220</v>
      </c>
      <c r="D171" s="27">
        <v>432</v>
      </c>
      <c r="E171" s="27">
        <v>125</v>
      </c>
      <c r="F171" s="27">
        <v>402</v>
      </c>
      <c r="G171" s="27">
        <f>SUM(C171:F171)</f>
        <v>3179</v>
      </c>
    </row>
    <row r="172" spans="2:8" x14ac:dyDescent="0.25">
      <c r="B172" s="14" t="s">
        <v>96</v>
      </c>
      <c r="C172" s="27">
        <f>77700000/1000000</f>
        <v>77.7</v>
      </c>
      <c r="D172" s="27">
        <v>9.0719999999999992</v>
      </c>
      <c r="E172" s="27">
        <v>3.1</v>
      </c>
      <c r="F172" s="27">
        <v>10.023</v>
      </c>
      <c r="G172" s="11">
        <f>SUM(C172:F172)</f>
        <v>99.894999999999996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286</v>
      </c>
      <c r="D175" s="27">
        <v>387</v>
      </c>
      <c r="E175" s="27">
        <v>203</v>
      </c>
      <c r="F175" s="27">
        <v>41</v>
      </c>
      <c r="G175" s="27">
        <f>SUM(C175:F175)</f>
        <v>917</v>
      </c>
    </row>
    <row r="176" spans="2:8" x14ac:dyDescent="0.25">
      <c r="B176" s="14" t="s">
        <v>96</v>
      </c>
      <c r="C176" s="27">
        <f>29840000/1000000</f>
        <v>29.84</v>
      </c>
      <c r="D176" s="27">
        <v>40.770000000000003</v>
      </c>
      <c r="E176" s="27">
        <v>11.26</v>
      </c>
      <c r="F176" s="27">
        <v>4.2350000000000003</v>
      </c>
      <c r="G176" s="11">
        <f>SUM(C176:F176)</f>
        <v>86.105000000000004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321</v>
      </c>
      <c r="D179" s="27">
        <v>182193</v>
      </c>
      <c r="E179" s="27">
        <v>0</v>
      </c>
      <c r="F179" s="27">
        <v>0</v>
      </c>
      <c r="G179" s="27">
        <f>SUM(C179:F179)</f>
        <v>182514</v>
      </c>
    </row>
    <row r="180" spans="2:8" x14ac:dyDescent="0.25">
      <c r="B180" s="14" t="s">
        <v>96</v>
      </c>
      <c r="C180" s="27">
        <f>13020000/1000000</f>
        <v>13.02</v>
      </c>
      <c r="D180" s="27">
        <v>4367.8774912667304</v>
      </c>
      <c r="E180" s="27">
        <v>0</v>
      </c>
      <c r="F180" s="27">
        <v>0</v>
      </c>
      <c r="G180" s="11">
        <f>SUM(C180:F180)</f>
        <v>4380.8974912667309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3709</v>
      </c>
      <c r="D183" s="19">
        <v>186896</v>
      </c>
      <c r="E183" s="19">
        <v>393</v>
      </c>
      <c r="F183" s="19">
        <f>+F179+F175+F171+F167</f>
        <v>1044</v>
      </c>
      <c r="G183" s="19">
        <f>SUM(C183:F183)</f>
        <v>192042</v>
      </c>
    </row>
    <row r="184" spans="2:8" x14ac:dyDescent="0.25">
      <c r="B184" s="18" t="s">
        <v>103</v>
      </c>
      <c r="C184" s="19">
        <f>+C180+C176+C172+C168</f>
        <v>151.43</v>
      </c>
      <c r="D184" s="19">
        <v>4512.1158652667309</v>
      </c>
      <c r="E184" s="19">
        <v>17.96</v>
      </c>
      <c r="F184" s="19">
        <f>+F180+F176+F172+F168</f>
        <v>37.018000000000001</v>
      </c>
      <c r="G184" s="22">
        <f>SUM(C184:F184)</f>
        <v>4718.5238652667313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2571</v>
      </c>
      <c r="D187" s="27">
        <v>4946</v>
      </c>
      <c r="E187" s="27">
        <v>93</v>
      </c>
      <c r="F187" s="27">
        <f>F162+F167+F171+F175+F158</f>
        <v>36994</v>
      </c>
      <c r="G187" s="27">
        <f>SUM(C187:F187)</f>
        <v>44604</v>
      </c>
    </row>
    <row r="188" spans="2:8" x14ac:dyDescent="0.25">
      <c r="B188" s="14" t="s">
        <v>106</v>
      </c>
      <c r="C188" s="27">
        <f>25008980/1000000</f>
        <v>25.008980000000001</v>
      </c>
      <c r="D188" s="27">
        <v>334.59824400000002</v>
      </c>
      <c r="E188" s="27">
        <v>3.65</v>
      </c>
      <c r="F188" s="27">
        <f>F163+F168+F172+F176+F159</f>
        <v>283.10573399999998</v>
      </c>
      <c r="G188" s="11">
        <f>SUM(C188:F188)</f>
        <v>646.36295799999994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9093</v>
      </c>
      <c r="D191" s="19">
        <v>244291</v>
      </c>
      <c r="E191" s="19">
        <v>7512</v>
      </c>
      <c r="F191" s="19">
        <f>F158+F162+F187+F183</f>
        <v>73988</v>
      </c>
      <c r="G191" s="19">
        <f>SUM(C191:F191)</f>
        <v>334884</v>
      </c>
    </row>
    <row r="192" spans="2:8" x14ac:dyDescent="0.25">
      <c r="B192" s="18" t="s">
        <v>109</v>
      </c>
      <c r="C192" s="19">
        <f>C188+C163+C184</f>
        <v>244.54784100000001</v>
      </c>
      <c r="D192" s="19">
        <v>4958.7797562667311</v>
      </c>
      <c r="E192" s="19">
        <v>131.16537700000001</v>
      </c>
      <c r="F192" s="19">
        <f>F159+F184+F163+F188</f>
        <v>566.21146799999997</v>
      </c>
      <c r="G192" s="22">
        <f>SUM(C192:F192)</f>
        <v>5900.7044422667313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96"/>
  <sheetViews>
    <sheetView topLeftCell="A173" zoomScaleNormal="100" workbookViewId="0">
      <selection activeCell="F184" sqref="F184"/>
    </sheetView>
  </sheetViews>
  <sheetFormatPr baseColWidth="10" defaultColWidth="9.140625" defaultRowHeight="15" x14ac:dyDescent="0.25"/>
  <cols>
    <col min="1" max="1" width="3.7109375" style="1" customWidth="1"/>
    <col min="2" max="2" width="48.140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55109</v>
      </c>
      <c r="D6" s="12">
        <v>8137</v>
      </c>
      <c r="E6" s="17">
        <v>8057</v>
      </c>
      <c r="F6" s="12">
        <v>9731</v>
      </c>
      <c r="G6" s="12">
        <f>+F6+E6+D6+C6</f>
        <v>81034</v>
      </c>
    </row>
    <row r="7" spans="1:7" x14ac:dyDescent="0.25">
      <c r="B7" s="14" t="s">
        <v>10</v>
      </c>
      <c r="C7" s="12">
        <v>556</v>
      </c>
      <c r="D7" s="12">
        <v>251</v>
      </c>
      <c r="E7" s="17">
        <v>24</v>
      </c>
      <c r="F7" s="12">
        <v>144</v>
      </c>
      <c r="G7" s="12">
        <f>+F7+E7+D7+C7</f>
        <v>975</v>
      </c>
    </row>
    <row r="8" spans="1:7" x14ac:dyDescent="0.25">
      <c r="B8" s="18" t="s">
        <v>11</v>
      </c>
      <c r="C8" s="25">
        <v>55665</v>
      </c>
      <c r="D8" s="25">
        <v>8388</v>
      </c>
      <c r="E8" s="25">
        <v>8081</v>
      </c>
      <c r="F8" s="25">
        <v>9875</v>
      </c>
      <c r="G8" s="25">
        <f>+F8+E8+D8+C8</f>
        <v>82009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771855</v>
      </c>
      <c r="D12" s="12">
        <v>100213</v>
      </c>
      <c r="E12" s="12">
        <v>40424</v>
      </c>
      <c r="F12" s="12">
        <v>0</v>
      </c>
      <c r="G12" s="17">
        <f>SUM(C12:F12)</f>
        <v>912492</v>
      </c>
    </row>
    <row r="13" spans="1:7" x14ac:dyDescent="0.25">
      <c r="B13" s="16" t="s">
        <v>15</v>
      </c>
      <c r="C13" s="12">
        <v>2571856</v>
      </c>
      <c r="D13" s="12">
        <v>569055</v>
      </c>
      <c r="E13" s="12">
        <v>229082</v>
      </c>
      <c r="F13" s="12">
        <v>0</v>
      </c>
      <c r="G13" s="17">
        <f>SUM(C13:F13)</f>
        <v>3369993</v>
      </c>
    </row>
    <row r="14" spans="1:7" x14ac:dyDescent="0.25">
      <c r="B14" s="18" t="s">
        <v>16</v>
      </c>
      <c r="C14" s="25">
        <v>3343711</v>
      </c>
      <c r="D14" s="25">
        <v>950084</v>
      </c>
      <c r="E14" s="25">
        <v>269506</v>
      </c>
      <c r="F14" s="25">
        <v>345728</v>
      </c>
      <c r="G14" s="19">
        <f>SUM(C14:F14)</f>
        <v>4909029</v>
      </c>
    </row>
    <row r="15" spans="1:7" x14ac:dyDescent="0.25">
      <c r="B15" s="18" t="s">
        <v>17</v>
      </c>
      <c r="C15" s="25">
        <v>528257</v>
      </c>
      <c r="D15" s="25">
        <v>171069</v>
      </c>
      <c r="E15" s="25">
        <v>3381</v>
      </c>
      <c r="F15" s="25">
        <v>149336</v>
      </c>
      <c r="G15" s="19">
        <f>SUM(C15:F15)</f>
        <v>852043</v>
      </c>
    </row>
    <row r="16" spans="1:7" x14ac:dyDescent="0.25">
      <c r="B16" s="18" t="s">
        <v>18</v>
      </c>
      <c r="C16" s="25">
        <v>3871968</v>
      </c>
      <c r="D16" s="25">
        <v>1121153</v>
      </c>
      <c r="E16" s="25">
        <v>272887</v>
      </c>
      <c r="F16" s="25">
        <v>495064</v>
      </c>
      <c r="G16" s="19">
        <f>SUM(C16:F16)</f>
        <v>5761072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41">
        <v>3472</v>
      </c>
      <c r="D19" s="27">
        <v>4</v>
      </c>
      <c r="E19" s="27">
        <v>0</v>
      </c>
      <c r="F19" s="27">
        <v>0</v>
      </c>
      <c r="G19" s="27">
        <f>SUM(C19:F19)</f>
        <v>3476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v>3875440</v>
      </c>
      <c r="D21" s="19">
        <v>1121157</v>
      </c>
      <c r="E21" s="19">
        <v>272887</v>
      </c>
      <c r="F21" s="19">
        <v>495064</v>
      </c>
      <c r="G21" s="19">
        <f>SUM(C21:F21)</f>
        <v>5764548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409531</v>
      </c>
      <c r="D24" s="19">
        <v>207404</v>
      </c>
      <c r="E24" s="47">
        <v>153271</v>
      </c>
      <c r="F24" s="19">
        <v>686135</v>
      </c>
      <c r="G24" s="19">
        <f>SUM(C24:F24)</f>
        <v>1456341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4284971</v>
      </c>
      <c r="D27" s="19">
        <f>+D24+D21</f>
        <v>1328561</v>
      </c>
      <c r="E27" s="19">
        <f>+E21+E24</f>
        <v>426158</v>
      </c>
      <c r="F27" s="19">
        <f>+F24+F21</f>
        <v>1181199</v>
      </c>
      <c r="G27" s="19">
        <f>SUM(C27:F27)</f>
        <v>7220889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1303223</v>
      </c>
      <c r="D30" s="27">
        <v>118382</v>
      </c>
      <c r="E30" s="27">
        <v>72104</v>
      </c>
      <c r="F30" s="27">
        <v>191540</v>
      </c>
      <c r="G30" s="27">
        <f>SUM(C30:F30)</f>
        <v>1685249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4227988690701</v>
      </c>
      <c r="D33" s="27">
        <v>710575792957</v>
      </c>
      <c r="E33" s="27">
        <v>267133730080</v>
      </c>
      <c r="F33" s="27">
        <v>473113469339</v>
      </c>
      <c r="G33" s="27">
        <f>SUM(C33:F33)</f>
        <v>5678811683077</v>
      </c>
    </row>
    <row r="34" spans="2:9" x14ac:dyDescent="0.25">
      <c r="B34" s="14" t="s">
        <v>30</v>
      </c>
      <c r="C34" s="27">
        <v>176778954513</v>
      </c>
      <c r="D34" s="27">
        <v>73910443861</v>
      </c>
      <c r="E34" s="27">
        <v>47463076500</v>
      </c>
      <c r="F34" s="27">
        <v>212172047577</v>
      </c>
      <c r="G34" s="27">
        <f>SUM(C34:F34)</f>
        <v>510324522451</v>
      </c>
    </row>
    <row r="35" spans="2:9" x14ac:dyDescent="0.25">
      <c r="B35" s="39" t="s">
        <v>31</v>
      </c>
      <c r="C35" s="19">
        <v>4404767645214</v>
      </c>
      <c r="D35" s="19">
        <v>784486236818</v>
      </c>
      <c r="E35" s="19">
        <v>314596806580</v>
      </c>
      <c r="F35" s="19">
        <v>685285516916</v>
      </c>
      <c r="G35" s="40">
        <f>SUM(C35:F35)</f>
        <v>6189136205528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761699</v>
      </c>
      <c r="D40" s="27">
        <v>110232</v>
      </c>
      <c r="E40" s="46">
        <v>47043</v>
      </c>
      <c r="F40" s="27">
        <v>64947</v>
      </c>
      <c r="G40" s="27">
        <f>SUM(C40:F40)</f>
        <v>983921</v>
      </c>
      <c r="H40" s="7"/>
      <c r="I40" s="7"/>
    </row>
    <row r="41" spans="2:9" x14ac:dyDescent="0.25">
      <c r="B41" s="14" t="s">
        <v>36</v>
      </c>
      <c r="C41" s="27">
        <v>4753.8182589999997</v>
      </c>
      <c r="D41" s="27">
        <v>1235.1763559999999</v>
      </c>
      <c r="E41" s="46">
        <v>509.5</v>
      </c>
      <c r="F41" s="27">
        <v>673.37820299999998</v>
      </c>
      <c r="G41" s="11">
        <f>SUM(C41:F41)</f>
        <v>7171.8728179999998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>
        <v>6</v>
      </c>
      <c r="D44" s="27">
        <v>2</v>
      </c>
      <c r="E44" s="27">
        <v>0</v>
      </c>
      <c r="F44" s="27">
        <v>0</v>
      </c>
      <c r="G44" s="27">
        <f>SUM(C44:F44)</f>
        <v>8</v>
      </c>
      <c r="H44" s="7"/>
      <c r="I44" s="7"/>
    </row>
    <row r="45" spans="2:9" x14ac:dyDescent="0.25">
      <c r="B45" s="14" t="s">
        <v>39</v>
      </c>
      <c r="C45" s="27">
        <v>4.7044750000000004</v>
      </c>
      <c r="D45" s="27">
        <v>3.4675999999999998E-2</v>
      </c>
      <c r="E45" s="27">
        <v>0</v>
      </c>
      <c r="F45" s="27">
        <v>0</v>
      </c>
      <c r="G45" s="11">
        <f>SUM(C45:F45)</f>
        <v>4.7391510000000006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182707</v>
      </c>
      <c r="D48" s="27">
        <v>81978</v>
      </c>
      <c r="E48" s="27">
        <v>12142</v>
      </c>
      <c r="F48" s="27">
        <v>61396</v>
      </c>
      <c r="G48" s="27">
        <f>SUM(C48:F48)</f>
        <v>338223</v>
      </c>
      <c r="H48" s="7"/>
      <c r="I48" s="7"/>
    </row>
    <row r="49" spans="2:9" x14ac:dyDescent="0.25">
      <c r="B49" s="14" t="s">
        <v>42</v>
      </c>
      <c r="C49" s="27">
        <v>92255.212675000002</v>
      </c>
      <c r="D49" s="27">
        <v>31843</v>
      </c>
      <c r="E49" s="27">
        <v>11204.49193</v>
      </c>
      <c r="F49" s="27">
        <v>12998.834349999999</v>
      </c>
      <c r="G49" s="11">
        <f>SUM(C49:F49)</f>
        <v>148301.538955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102606</v>
      </c>
      <c r="D55" s="27">
        <v>6656</v>
      </c>
      <c r="E55" s="28">
        <v>1481</v>
      </c>
      <c r="F55" s="27">
        <v>3618</v>
      </c>
      <c r="G55" s="27">
        <f t="shared" ref="G55:G71" si="0">SUM(C55:F55)</f>
        <v>114361</v>
      </c>
    </row>
    <row r="56" spans="2:9" x14ac:dyDescent="0.25">
      <c r="B56" s="14" t="s">
        <v>47</v>
      </c>
      <c r="C56" s="27">
        <v>77371.223704999997</v>
      </c>
      <c r="D56" s="27">
        <v>10056.1680550002</v>
      </c>
      <c r="E56" s="28">
        <v>2133.5917169999998</v>
      </c>
      <c r="F56" s="27">
        <v>5755</v>
      </c>
      <c r="G56" s="27">
        <f t="shared" si="0"/>
        <v>95315.983477000205</v>
      </c>
    </row>
    <row r="57" spans="2:9" x14ac:dyDescent="0.25">
      <c r="B57" s="14" t="s">
        <v>48</v>
      </c>
      <c r="C57" s="27">
        <v>13.524316316784599</v>
      </c>
      <c r="D57" s="27">
        <v>38</v>
      </c>
      <c r="E57" s="48">
        <v>20.263335584064823</v>
      </c>
      <c r="F57" s="27">
        <v>22</v>
      </c>
      <c r="G57" s="27">
        <f>AVERAGE(C57:F57)</f>
        <v>23.446912975212356</v>
      </c>
    </row>
    <row r="58" spans="2:9" x14ac:dyDescent="0.25">
      <c r="B58" s="14" t="s">
        <v>49</v>
      </c>
      <c r="C58" s="27">
        <v>902018</v>
      </c>
      <c r="D58" s="27">
        <v>157033</v>
      </c>
      <c r="E58" s="28">
        <v>53403</v>
      </c>
      <c r="F58" s="27">
        <v>84317</v>
      </c>
      <c r="G58" s="27">
        <f t="shared" si="0"/>
        <v>1196771</v>
      </c>
    </row>
    <row r="59" spans="2:9" x14ac:dyDescent="0.25">
      <c r="B59" s="14" t="s">
        <v>50</v>
      </c>
      <c r="C59" s="27">
        <v>1971992</v>
      </c>
      <c r="D59" s="27">
        <v>284500.54552500002</v>
      </c>
      <c r="E59" s="49">
        <v>109375.89469099999</v>
      </c>
      <c r="F59" s="27">
        <v>199059</v>
      </c>
      <c r="G59" s="11">
        <f t="shared" si="0"/>
        <v>2564927.4402160002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4325</v>
      </c>
      <c r="D67" s="27">
        <v>2046</v>
      </c>
      <c r="E67" s="27">
        <v>1878</v>
      </c>
      <c r="F67" s="27">
        <v>6845</v>
      </c>
      <c r="G67" s="27">
        <f t="shared" si="0"/>
        <v>15094</v>
      </c>
    </row>
    <row r="68" spans="2:8" x14ac:dyDescent="0.25">
      <c r="B68" s="14" t="s">
        <v>47</v>
      </c>
      <c r="C68" s="27">
        <v>3902.9477729999999</v>
      </c>
      <c r="D68" s="27">
        <v>2236.4558960000099</v>
      </c>
      <c r="E68" s="27">
        <v>2191.807366</v>
      </c>
      <c r="F68" s="27">
        <v>5664</v>
      </c>
      <c r="G68" s="27">
        <f t="shared" si="0"/>
        <v>13995.211035000011</v>
      </c>
    </row>
    <row r="69" spans="2:8" x14ac:dyDescent="0.25">
      <c r="B69" s="14" t="s">
        <v>48</v>
      </c>
      <c r="C69" s="27">
        <v>33.546127167630097</v>
      </c>
      <c r="D69" s="27">
        <v>54</v>
      </c>
      <c r="E69" s="27">
        <v>48.987220447284344</v>
      </c>
      <c r="F69" s="27">
        <v>39</v>
      </c>
      <c r="G69" s="27">
        <f>AVERAGE(C69:F69)</f>
        <v>43.883336903728605</v>
      </c>
    </row>
    <row r="70" spans="2:8" x14ac:dyDescent="0.25">
      <c r="B70" s="14" t="s">
        <v>49</v>
      </c>
      <c r="C70" s="27">
        <v>140279</v>
      </c>
      <c r="D70" s="27">
        <v>91615</v>
      </c>
      <c r="E70" s="27">
        <v>74043</v>
      </c>
      <c r="F70" s="27">
        <v>281257</v>
      </c>
      <c r="G70" s="27">
        <f t="shared" si="0"/>
        <v>587194</v>
      </c>
    </row>
    <row r="71" spans="2:8" x14ac:dyDescent="0.25">
      <c r="B71" s="14" t="s">
        <v>50</v>
      </c>
      <c r="C71" s="27">
        <v>150124</v>
      </c>
      <c r="D71" s="27">
        <v>110365.715407</v>
      </c>
      <c r="E71" s="27">
        <v>81010.592971999999</v>
      </c>
      <c r="F71" s="27">
        <v>268875</v>
      </c>
      <c r="G71" s="11">
        <f t="shared" si="0"/>
        <v>610375.30837900005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v>106931</v>
      </c>
      <c r="D73" s="19">
        <v>8702</v>
      </c>
      <c r="E73" s="19">
        <v>3359</v>
      </c>
      <c r="F73" s="19">
        <v>10463</v>
      </c>
      <c r="G73" s="19">
        <f>SUM(C73:F73)</f>
        <v>129455</v>
      </c>
    </row>
    <row r="74" spans="2:8" x14ac:dyDescent="0.25">
      <c r="B74" s="18" t="s">
        <v>47</v>
      </c>
      <c r="C74" s="19">
        <v>81274.171478000004</v>
      </c>
      <c r="D74" s="19">
        <v>12292.623951000211</v>
      </c>
      <c r="E74" s="19">
        <v>4325.3990830000002</v>
      </c>
      <c r="F74" s="19">
        <v>11419</v>
      </c>
      <c r="G74" s="22">
        <f>SUM(C74:F74)</f>
        <v>109311.19451200021</v>
      </c>
    </row>
    <row r="75" spans="2:8" x14ac:dyDescent="0.25">
      <c r="B75" s="18" t="s">
        <v>48</v>
      </c>
      <c r="C75" s="19">
        <v>14.334131355734099</v>
      </c>
      <c r="D75" s="19">
        <v>30.666666666666668</v>
      </c>
      <c r="E75" s="19">
        <v>36.322715093777909</v>
      </c>
      <c r="F75" s="19">
        <v>30.5</v>
      </c>
      <c r="G75" s="19">
        <f>AVERAGE(C75:F75)</f>
        <v>27.955878279044668</v>
      </c>
    </row>
    <row r="76" spans="2:8" x14ac:dyDescent="0.25">
      <c r="B76" s="18" t="s">
        <v>49</v>
      </c>
      <c r="C76" s="19">
        <v>1042297</v>
      </c>
      <c r="D76" s="19">
        <v>248648</v>
      </c>
      <c r="E76" s="19">
        <v>127446</v>
      </c>
      <c r="F76" s="19">
        <v>365574</v>
      </c>
      <c r="G76" s="19">
        <f>SUM(C76:F76)</f>
        <v>1783965</v>
      </c>
    </row>
    <row r="77" spans="2:8" x14ac:dyDescent="0.25">
      <c r="B77" s="18" t="s">
        <v>50</v>
      </c>
      <c r="C77" s="19">
        <v>2122116</v>
      </c>
      <c r="D77" s="19">
        <v>394866.260932</v>
      </c>
      <c r="E77" s="19">
        <v>190386.48766300001</v>
      </c>
      <c r="F77" s="19">
        <v>467934</v>
      </c>
      <c r="G77" s="22">
        <f>SUM(C77:F77)</f>
        <v>3175302.7485949998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976</v>
      </c>
      <c r="D84" s="24">
        <v>112</v>
      </c>
      <c r="E84" s="32">
        <v>5</v>
      </c>
      <c r="F84" s="24">
        <v>90</v>
      </c>
      <c r="G84" s="24">
        <f>SUM(C84:F84)</f>
        <v>1183</v>
      </c>
    </row>
    <row r="85" spans="2:7" x14ac:dyDescent="0.25">
      <c r="B85" s="14" t="s">
        <v>50</v>
      </c>
      <c r="C85" s="24">
        <v>21115</v>
      </c>
      <c r="D85" s="24">
        <v>1430</v>
      </c>
      <c r="E85" s="32">
        <v>63</v>
      </c>
      <c r="F85" s="27">
        <v>1679.407136</v>
      </c>
      <c r="G85" s="11">
        <f>SUM(C85:F85)</f>
        <v>24287.407136000002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171</v>
      </c>
      <c r="D97" s="24">
        <v>0</v>
      </c>
      <c r="E97" s="24">
        <v>0</v>
      </c>
      <c r="F97" s="24">
        <v>76.840237000000002</v>
      </c>
      <c r="G97" s="11">
        <f>SUM(C97:F97)</f>
        <v>247.840237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986</v>
      </c>
      <c r="D102" s="45">
        <f t="shared" ref="D102:D103" si="1">+D96+D90+D84</f>
        <v>112</v>
      </c>
      <c r="E102" s="45">
        <f>+E84</f>
        <v>5</v>
      </c>
      <c r="F102" s="45">
        <f>+F96+F84</f>
        <v>96</v>
      </c>
      <c r="G102" s="19">
        <f>SUM(C102:F102)</f>
        <v>1199</v>
      </c>
    </row>
    <row r="103" spans="2:8" x14ac:dyDescent="0.25">
      <c r="B103" s="18" t="s">
        <v>50</v>
      </c>
      <c r="C103" s="45">
        <f>+C97+C85</f>
        <v>21286</v>
      </c>
      <c r="D103" s="45">
        <f t="shared" si="1"/>
        <v>1430</v>
      </c>
      <c r="E103" s="45">
        <f>+E85</f>
        <v>63</v>
      </c>
      <c r="F103" s="43">
        <f>+F85+F97</f>
        <v>1756.2473730000002</v>
      </c>
      <c r="G103" s="22">
        <f>SUM(C103:F103)</f>
        <v>24535.247372999998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2.8214116168360435</v>
      </c>
      <c r="D107" s="13">
        <v>2.5499999999999998</v>
      </c>
      <c r="E107" s="30">
        <v>2.8423789764868603</v>
      </c>
      <c r="F107" s="13">
        <v>2.54</v>
      </c>
      <c r="G107" s="13">
        <f>AVERAGE(C107:F107)</f>
        <v>2.688447648330726</v>
      </c>
    </row>
    <row r="108" spans="2:8" x14ac:dyDescent="0.25">
      <c r="B108" s="14" t="s">
        <v>60</v>
      </c>
      <c r="C108" s="13">
        <v>2.2426334776334564</v>
      </c>
      <c r="D108" s="13">
        <v>2.59</v>
      </c>
      <c r="E108" s="31">
        <v>2.6350714285714285</v>
      </c>
      <c r="F108" s="13">
        <v>2.58</v>
      </c>
      <c r="G108" s="13">
        <f>AVERAGE(C108:F108)</f>
        <v>2.5119262265512212</v>
      </c>
    </row>
    <row r="109" spans="2:8" x14ac:dyDescent="0.25">
      <c r="B109" s="14" t="s">
        <v>61</v>
      </c>
      <c r="C109" s="13">
        <v>2.106834766032903</v>
      </c>
      <c r="D109" s="13">
        <v>2.59</v>
      </c>
      <c r="E109" s="30">
        <v>2.5878333333333337</v>
      </c>
      <c r="F109" s="13">
        <v>2.58</v>
      </c>
      <c r="G109" s="13">
        <f>AVERAGE(C109:F109)</f>
        <v>2.466167024841559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2</v>
      </c>
      <c r="D111" s="13">
        <v>1.95</v>
      </c>
      <c r="E111" s="30">
        <v>1.9</v>
      </c>
      <c r="F111" s="13">
        <v>1.8</v>
      </c>
      <c r="G111" s="13">
        <f>AVERAGE(C111:F111)</f>
        <v>1.9124999999999999</v>
      </c>
    </row>
    <row r="112" spans="2:8" x14ac:dyDescent="0.25">
      <c r="B112" s="14" t="s">
        <v>60</v>
      </c>
      <c r="C112" s="13">
        <v>1.9901020408163284</v>
      </c>
      <c r="D112" s="13">
        <v>2.13</v>
      </c>
      <c r="E112" s="30">
        <v>2.12</v>
      </c>
      <c r="F112" s="13">
        <v>2.12</v>
      </c>
      <c r="G112" s="13">
        <f>AVERAGE(C112:F112)</f>
        <v>2.0900255102040823</v>
      </c>
    </row>
    <row r="113" spans="2:9" x14ac:dyDescent="0.25">
      <c r="B113" s="14" t="s">
        <v>61</v>
      </c>
      <c r="C113" s="13">
        <v>1.8781910569105982</v>
      </c>
      <c r="D113" s="13">
        <v>2.13</v>
      </c>
      <c r="E113" s="30">
        <v>2.1122727272727273</v>
      </c>
      <c r="F113" s="13">
        <v>2.12</v>
      </c>
      <c r="G113" s="13">
        <f>AVERAGE(C113:F113)</f>
        <v>2.0601159460458316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1.506922190201736</v>
      </c>
      <c r="D116" s="13">
        <v>1.79</v>
      </c>
      <c r="E116" s="31">
        <v>1.9355072463768115</v>
      </c>
      <c r="F116" s="13">
        <v>1.78</v>
      </c>
      <c r="G116" s="13">
        <f>AVERAGE(C116:F116)</f>
        <v>1.7531073591446369</v>
      </c>
    </row>
    <row r="117" spans="2:9" x14ac:dyDescent="0.25">
      <c r="B117" s="14" t="s">
        <v>60</v>
      </c>
      <c r="C117" s="13">
        <v>1.7578228571429206</v>
      </c>
      <c r="D117" s="13">
        <v>1.79</v>
      </c>
      <c r="E117" s="31">
        <v>1.9241216216216217</v>
      </c>
      <c r="F117" s="13">
        <v>1.78</v>
      </c>
      <c r="G117" s="13">
        <f>AVERAGE(C117:F117)</f>
        <v>1.8129861196911357</v>
      </c>
    </row>
    <row r="118" spans="2:9" x14ac:dyDescent="0.25">
      <c r="B118" s="14" t="s">
        <v>61</v>
      </c>
      <c r="C118" s="13">
        <v>1.6469490794016246</v>
      </c>
      <c r="D118" s="13">
        <v>1.74</v>
      </c>
      <c r="E118" s="31">
        <v>1.9865979381443299</v>
      </c>
      <c r="F118" s="13">
        <v>1.74</v>
      </c>
      <c r="G118" s="13">
        <f>AVERAGE(C118:F118)</f>
        <v>1.7783867543864886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42">
        <v>1.34</v>
      </c>
      <c r="D121" s="13">
        <v>1.43</v>
      </c>
      <c r="E121" s="30">
        <v>1.33</v>
      </c>
      <c r="F121" s="13">
        <v>1.43</v>
      </c>
      <c r="G121" s="13">
        <f>AVERAGE(C121:F121)</f>
        <v>1.3824999999999998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1.58</v>
      </c>
      <c r="F122" s="13">
        <v>1.43</v>
      </c>
      <c r="G122" s="13">
        <f>AVERAGE(C122:F122)</f>
        <v>1.4674999999999998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3">
        <v>2</v>
      </c>
      <c r="D127" s="37">
        <v>2.1106639999999999</v>
      </c>
      <c r="E127" s="33">
        <v>2.2721827984531653</v>
      </c>
      <c r="F127" s="4">
        <v>0</v>
      </c>
      <c r="G127" s="11">
        <f>AVERAGE(C127:E127)</f>
        <v>2.1276155994843884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238792</v>
      </c>
      <c r="D130" s="27">
        <v>3447</v>
      </c>
      <c r="E130" s="27">
        <v>8104</v>
      </c>
      <c r="F130" s="27">
        <v>765</v>
      </c>
      <c r="G130" s="27">
        <f>SUM(C130:F130)</f>
        <v>251108</v>
      </c>
    </row>
    <row r="131" spans="2:9" x14ac:dyDescent="0.25">
      <c r="B131" s="14" t="s">
        <v>71</v>
      </c>
      <c r="C131" s="27">
        <v>159856</v>
      </c>
      <c r="D131" s="27">
        <v>3908</v>
      </c>
      <c r="E131" s="27">
        <v>996062</v>
      </c>
      <c r="F131" s="27">
        <v>780.90870500000005</v>
      </c>
      <c r="G131" s="11">
        <f>SUM(C131:F131)</f>
        <v>1160606.9087050001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834691</v>
      </c>
      <c r="D134" s="27">
        <v>399784</v>
      </c>
      <c r="E134" s="27">
        <v>149953</v>
      </c>
      <c r="F134" s="27">
        <v>370206</v>
      </c>
      <c r="G134" s="27">
        <f>SUM(C134:F134)</f>
        <v>1754634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15061</v>
      </c>
      <c r="G138" s="27">
        <f>SUM(C138:F138)</f>
        <v>15061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190</v>
      </c>
      <c r="G139" s="27">
        <f>SUM(C139:F139)</f>
        <v>190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652</v>
      </c>
      <c r="E146" s="27">
        <v>0</v>
      </c>
      <c r="F146" s="27">
        <v>1013</v>
      </c>
      <c r="G146" s="27">
        <f>SUM(C146:F146)</f>
        <v>1665</v>
      </c>
    </row>
    <row r="147" spans="2:8" x14ac:dyDescent="0.25">
      <c r="B147" s="14" t="s">
        <v>82</v>
      </c>
      <c r="C147" s="27">
        <v>0</v>
      </c>
      <c r="D147" s="27">
        <v>14.231999999999999</v>
      </c>
      <c r="E147" s="27">
        <v>0</v>
      </c>
      <c r="F147" s="27">
        <v>10.39025</v>
      </c>
      <c r="G147" s="11">
        <f>SUM(C147:F147)</f>
        <v>24.622250000000001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313</v>
      </c>
      <c r="E154" s="35">
        <v>2</v>
      </c>
      <c r="F154" s="34">
        <v>0</v>
      </c>
      <c r="G154" s="27">
        <f>SUM(C154:F154)</f>
        <v>315</v>
      </c>
      <c r="H154"/>
    </row>
    <row r="155" spans="2:8" x14ac:dyDescent="0.25">
      <c r="B155" s="14" t="s">
        <v>88</v>
      </c>
      <c r="C155" s="11">
        <v>0</v>
      </c>
      <c r="D155" s="27">
        <v>4.63</v>
      </c>
      <c r="E155" s="35">
        <v>6.5000000000000002E-2</v>
      </c>
      <c r="F155" s="34">
        <v>0</v>
      </c>
      <c r="G155" s="11">
        <f>SUM(C155:F155)</f>
        <v>4.6950000000000003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f>+D146+D150+D154</f>
        <v>965</v>
      </c>
      <c r="E158" s="19">
        <f>+E154</f>
        <v>2</v>
      </c>
      <c r="F158" s="19">
        <f>F146+F154</f>
        <v>1013</v>
      </c>
      <c r="G158" s="19">
        <f>SUM(C158:F158)</f>
        <v>1980</v>
      </c>
    </row>
    <row r="159" spans="2:8" x14ac:dyDescent="0.25">
      <c r="B159" s="18" t="s">
        <v>91</v>
      </c>
      <c r="C159" s="19">
        <v>0</v>
      </c>
      <c r="D159" s="44">
        <f>+D147+D151+D155</f>
        <v>18.942</v>
      </c>
      <c r="E159" s="19">
        <v>0</v>
      </c>
      <c r="F159" s="19">
        <f>F147+F155</f>
        <v>10.39025</v>
      </c>
      <c r="G159" s="22">
        <f>SUM(C159:F159)</f>
        <v>29.332250000000002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3164</v>
      </c>
      <c r="D162" s="27">
        <v>46275</v>
      </c>
      <c r="E162" s="50">
        <v>6208</v>
      </c>
      <c r="F162" s="27">
        <v>31841</v>
      </c>
      <c r="G162" s="27">
        <f>SUM(C162:F162)</f>
        <v>87488</v>
      </c>
    </row>
    <row r="163" spans="2:8" x14ac:dyDescent="0.25">
      <c r="B163" s="14" t="s">
        <v>88</v>
      </c>
      <c r="C163" s="27">
        <v>71.717043000000004</v>
      </c>
      <c r="D163" s="27">
        <v>68.343553999999997</v>
      </c>
      <c r="E163" s="27">
        <v>98.048772</v>
      </c>
      <c r="F163" s="27">
        <v>197.47268</v>
      </c>
      <c r="G163" s="11">
        <f>SUM(C163:F163)</f>
        <v>435.58204899999998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981</v>
      </c>
      <c r="D167" s="27">
        <v>4083</v>
      </c>
      <c r="E167" s="51">
        <v>79</v>
      </c>
      <c r="F167" s="27">
        <v>595</v>
      </c>
      <c r="G167" s="27">
        <f>SUM(C167:F167)</f>
        <v>5738</v>
      </c>
    </row>
    <row r="168" spans="2:8" x14ac:dyDescent="0.25">
      <c r="B168" s="14" t="s">
        <v>96</v>
      </c>
      <c r="C168" s="27">
        <v>34.335000000000001</v>
      </c>
      <c r="D168" s="27">
        <v>100.602547</v>
      </c>
      <c r="E168" s="27">
        <v>2.5</v>
      </c>
      <c r="F168" s="27">
        <v>21.75</v>
      </c>
      <c r="G168" s="11">
        <f>SUM(C168:F168)</f>
        <v>159.187547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1938</v>
      </c>
      <c r="D171" s="27">
        <v>421</v>
      </c>
      <c r="E171" s="51">
        <v>103</v>
      </c>
      <c r="F171" s="27">
        <v>366</v>
      </c>
      <c r="G171" s="27">
        <f>SUM(C171:F171)</f>
        <v>2828</v>
      </c>
    </row>
    <row r="172" spans="2:8" x14ac:dyDescent="0.25">
      <c r="B172" s="14" t="s">
        <v>96</v>
      </c>
      <c r="C172" s="27">
        <v>67.83</v>
      </c>
      <c r="D172" s="27">
        <v>8.8409999999999993</v>
      </c>
      <c r="E172" s="27">
        <v>2.6</v>
      </c>
      <c r="F172" s="27">
        <v>9.1389999999999993</v>
      </c>
      <c r="G172" s="11">
        <f>SUM(C172:F172)</f>
        <v>88.409999999999982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234</v>
      </c>
      <c r="D175" s="27">
        <v>338</v>
      </c>
      <c r="E175" s="51">
        <v>173</v>
      </c>
      <c r="F175" s="27">
        <v>31</v>
      </c>
      <c r="G175" s="27">
        <f>SUM(C175:F175)</f>
        <v>776</v>
      </c>
    </row>
    <row r="176" spans="2:8" x14ac:dyDescent="0.25">
      <c r="B176" s="14" t="s">
        <v>96</v>
      </c>
      <c r="C176" s="27">
        <v>24.66</v>
      </c>
      <c r="D176" s="27">
        <v>35.54</v>
      </c>
      <c r="E176" s="27">
        <v>9.58</v>
      </c>
      <c r="F176" s="27">
        <v>3.1850000000000001</v>
      </c>
      <c r="G176" s="11">
        <f>SUM(C176:F176)</f>
        <v>72.965000000000003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262</v>
      </c>
      <c r="D179" s="27">
        <v>166853</v>
      </c>
      <c r="E179" s="27">
        <v>0</v>
      </c>
      <c r="F179" s="27">
        <v>0</v>
      </c>
      <c r="G179" s="27">
        <f>SUM(C179:F179)</f>
        <v>167115</v>
      </c>
    </row>
    <row r="180" spans="2:8" x14ac:dyDescent="0.25">
      <c r="B180" s="14" t="s">
        <v>96</v>
      </c>
      <c r="C180" s="27">
        <v>10.585000000000001</v>
      </c>
      <c r="D180" s="27">
        <v>3938.5788293851001</v>
      </c>
      <c r="E180" s="27">
        <v>0</v>
      </c>
      <c r="F180" s="27">
        <v>0</v>
      </c>
      <c r="G180" s="11">
        <f>SUM(C180:F180)</f>
        <v>3949.1638293851001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v>3415</v>
      </c>
      <c r="D183" s="44">
        <v>171695</v>
      </c>
      <c r="E183" s="19">
        <v>355</v>
      </c>
      <c r="F183" s="19">
        <f>+F179+F175+F171+F167</f>
        <v>992</v>
      </c>
      <c r="G183" s="19">
        <f>SUM(C183:F183)</f>
        <v>176457</v>
      </c>
    </row>
    <row r="184" spans="2:8" x14ac:dyDescent="0.25">
      <c r="B184" s="18" t="s">
        <v>103</v>
      </c>
      <c r="C184" s="19">
        <v>137.41</v>
      </c>
      <c r="D184" s="44">
        <v>4083.5623763850999</v>
      </c>
      <c r="E184" s="19">
        <v>14.68</v>
      </c>
      <c r="F184" s="19">
        <f>+F180+F176+F172+F168</f>
        <v>34.073999999999998</v>
      </c>
      <c r="G184" s="22">
        <f>SUM(C184:F184)</f>
        <v>4269.7263763850997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1584</v>
      </c>
      <c r="D187" s="27">
        <v>7222</v>
      </c>
      <c r="E187" s="27">
        <v>62</v>
      </c>
      <c r="F187" s="27">
        <v>33846</v>
      </c>
      <c r="G187" s="27">
        <f>SUM(C187:F187)</f>
        <v>42714</v>
      </c>
    </row>
    <row r="188" spans="2:8" x14ac:dyDescent="0.25">
      <c r="B188" s="14" t="s">
        <v>106</v>
      </c>
      <c r="C188" s="27">
        <v>16.973617999999998</v>
      </c>
      <c r="D188" s="27">
        <v>323.11659999999995</v>
      </c>
      <c r="E188" s="27">
        <v>2.4700000000000002</v>
      </c>
      <c r="F188" s="27">
        <v>241.95693</v>
      </c>
      <c r="G188" s="11">
        <f>SUM(C188:F188)</f>
        <v>584.51714799999991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8163</v>
      </c>
      <c r="D191" s="44">
        <v>226157</v>
      </c>
      <c r="E191" s="19">
        <v>6625</v>
      </c>
      <c r="F191" s="19">
        <f>F158+F162+F183+F187</f>
        <v>67692</v>
      </c>
      <c r="G191" s="19">
        <f>SUM(C191:F191)</f>
        <v>308637</v>
      </c>
    </row>
    <row r="192" spans="2:8" x14ac:dyDescent="0.25">
      <c r="B192" s="18" t="s">
        <v>109</v>
      </c>
      <c r="C192" s="19">
        <f>C188+C163+C184</f>
        <v>226.100661</v>
      </c>
      <c r="D192" s="44">
        <v>4493.8845303851003</v>
      </c>
      <c r="E192" s="19">
        <v>115.19877199999999</v>
      </c>
      <c r="F192" s="19">
        <f>F159+F184+F163+F188</f>
        <v>483.89386000000002</v>
      </c>
      <c r="G192" s="22">
        <f>SUM(C192:F192)</f>
        <v>5319.0778233851006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96"/>
  <sheetViews>
    <sheetView zoomScaleNormal="100" workbookViewId="0">
      <selection activeCell="E168" sqref="E168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55057</v>
      </c>
      <c r="D6" s="12">
        <v>8161</v>
      </c>
      <c r="E6" s="12">
        <v>8021</v>
      </c>
      <c r="F6" s="12">
        <v>9689</v>
      </c>
      <c r="G6" s="12">
        <f>+F6+E6+D6+C6</f>
        <v>80928</v>
      </c>
    </row>
    <row r="7" spans="1:7" x14ac:dyDescent="0.25">
      <c r="B7" s="14" t="s">
        <v>10</v>
      </c>
      <c r="C7" s="12">
        <v>556</v>
      </c>
      <c r="D7" s="12">
        <v>250</v>
      </c>
      <c r="E7" s="12">
        <v>24</v>
      </c>
      <c r="F7" s="12">
        <v>142</v>
      </c>
      <c r="G7" s="12">
        <f>+F7+E7+D7+C7</f>
        <v>972</v>
      </c>
    </row>
    <row r="8" spans="1:7" x14ac:dyDescent="0.25">
      <c r="B8" s="18" t="s">
        <v>11</v>
      </c>
      <c r="C8" s="25">
        <f>SUM(C6:C7)</f>
        <v>55613</v>
      </c>
      <c r="D8" s="25">
        <f>+D6+D7</f>
        <v>8411</v>
      </c>
      <c r="E8" s="25">
        <v>8045</v>
      </c>
      <c r="F8" s="25">
        <v>9831</v>
      </c>
      <c r="G8" s="25">
        <f>+F8+E8+D8+C8</f>
        <v>81900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768955</v>
      </c>
      <c r="D12" s="17">
        <v>99146</v>
      </c>
      <c r="E12" s="17">
        <v>40076</v>
      </c>
      <c r="F12" s="17">
        <v>0</v>
      </c>
      <c r="G12" s="17">
        <f>SUM(C12:F12)</f>
        <v>908177</v>
      </c>
    </row>
    <row r="13" spans="1:7" x14ac:dyDescent="0.25">
      <c r="B13" s="16" t="s">
        <v>15</v>
      </c>
      <c r="C13" s="17">
        <v>2646159</v>
      </c>
      <c r="D13" s="17">
        <v>578499</v>
      </c>
      <c r="E13" s="17">
        <v>230506</v>
      </c>
      <c r="F13" s="17">
        <v>0</v>
      </c>
      <c r="G13" s="17">
        <f>SUM(C13:F13)</f>
        <v>3455164</v>
      </c>
    </row>
    <row r="14" spans="1:7" x14ac:dyDescent="0.25">
      <c r="B14" s="18" t="s">
        <v>16</v>
      </c>
      <c r="C14" s="19">
        <f>C13+C12</f>
        <v>3415114</v>
      </c>
      <c r="D14" s="19">
        <v>950089</v>
      </c>
      <c r="E14" s="19">
        <v>270582</v>
      </c>
      <c r="F14" s="19">
        <v>348124</v>
      </c>
      <c r="G14" s="19">
        <f>SUM(C14:F14)</f>
        <v>4983909</v>
      </c>
    </row>
    <row r="15" spans="1:7" x14ac:dyDescent="0.25">
      <c r="B15" s="18" t="s">
        <v>17</v>
      </c>
      <c r="C15" s="19">
        <v>529538</v>
      </c>
      <c r="D15" s="19">
        <v>170943</v>
      </c>
      <c r="E15" s="19">
        <v>3382</v>
      </c>
      <c r="F15" s="19">
        <v>151532</v>
      </c>
      <c r="G15" s="19">
        <f>SUM(C15:F15)</f>
        <v>855395</v>
      </c>
    </row>
    <row r="16" spans="1:7" x14ac:dyDescent="0.25">
      <c r="B16" s="18" t="s">
        <v>18</v>
      </c>
      <c r="C16" s="19">
        <f>C15+C14</f>
        <v>3944652</v>
      </c>
      <c r="D16" s="19">
        <v>1121032</v>
      </c>
      <c r="E16" s="19">
        <v>273964</v>
      </c>
      <c r="F16" s="19">
        <v>499656</v>
      </c>
      <c r="G16" s="19">
        <f>SUM(C16:F16)</f>
        <v>5839304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3461</v>
      </c>
      <c r="D19" s="27">
        <v>4</v>
      </c>
      <c r="E19" s="27">
        <v>0</v>
      </c>
      <c r="F19" s="27">
        <v>0</v>
      </c>
      <c r="G19" s="27">
        <f>SUM(C19:F19)</f>
        <v>3465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v>3948113</v>
      </c>
      <c r="D21" s="19">
        <v>1121036</v>
      </c>
      <c r="E21" s="19">
        <v>273964</v>
      </c>
      <c r="F21" s="19">
        <v>499656</v>
      </c>
      <c r="G21" s="19">
        <f>SUM(C21:F21)</f>
        <v>5842769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404224</v>
      </c>
      <c r="D24" s="19">
        <v>209014</v>
      </c>
      <c r="E24" s="19">
        <v>155682</v>
      </c>
      <c r="F24" s="19">
        <v>687203</v>
      </c>
      <c r="G24" s="19">
        <f>SUM(C24:F24)</f>
        <v>1456123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4352337</v>
      </c>
      <c r="D27" s="19">
        <f>+D24+D21</f>
        <v>1330050</v>
      </c>
      <c r="E27" s="19">
        <f>+E21+E24</f>
        <v>429646</v>
      </c>
      <c r="F27" s="19">
        <f>+F24+F21</f>
        <v>1186859</v>
      </c>
      <c r="G27" s="19">
        <f>SUM(C27:F27)</f>
        <v>7298892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1214951</v>
      </c>
      <c r="D30" s="27">
        <v>130103</v>
      </c>
      <c r="E30" s="27">
        <v>75618</v>
      </c>
      <c r="F30" s="27">
        <v>199309</v>
      </c>
      <c r="G30" s="27">
        <f>SUM(C30:F30)</f>
        <v>1619981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4310999228192</v>
      </c>
      <c r="D33" s="27">
        <v>792904140525</v>
      </c>
      <c r="E33" s="27">
        <v>280493248027</v>
      </c>
      <c r="F33" s="27">
        <v>479783612919</v>
      </c>
      <c r="G33" s="27">
        <f>SUM(C33:F33)</f>
        <v>5864180229663</v>
      </c>
    </row>
    <row r="34" spans="2:9" x14ac:dyDescent="0.25">
      <c r="B34" s="14" t="s">
        <v>30</v>
      </c>
      <c r="C34" s="27">
        <v>178392410122</v>
      </c>
      <c r="D34" s="27">
        <v>74493617994</v>
      </c>
      <c r="E34" s="27">
        <v>48641200500</v>
      </c>
      <c r="F34" s="27">
        <v>212143838771</v>
      </c>
      <c r="G34" s="27">
        <f>SUM(C34:F34)</f>
        <v>513671067387</v>
      </c>
    </row>
    <row r="35" spans="2:9" x14ac:dyDescent="0.25">
      <c r="B35" s="39" t="s">
        <v>31</v>
      </c>
      <c r="C35" s="40">
        <f>SUM(C33:C34)</f>
        <v>4489391638314</v>
      </c>
      <c r="D35" s="40">
        <f>+D34+D33</f>
        <v>867397758519</v>
      </c>
      <c r="E35" s="40">
        <v>329134448527</v>
      </c>
      <c r="F35" s="40">
        <v>691927451690</v>
      </c>
      <c r="G35" s="40">
        <f>SUM(C35:F35)</f>
        <v>6377851297050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717600</v>
      </c>
      <c r="D40" s="27">
        <v>113549</v>
      </c>
      <c r="E40" s="27">
        <v>50177</v>
      </c>
      <c r="F40" s="27">
        <v>71436</v>
      </c>
      <c r="G40" s="27">
        <f>SUM(C40:F40)</f>
        <v>952762</v>
      </c>
      <c r="H40" s="7"/>
      <c r="I40" s="7"/>
    </row>
    <row r="41" spans="2:9" x14ac:dyDescent="0.25">
      <c r="B41" s="14" t="s">
        <v>36</v>
      </c>
      <c r="C41" s="27">
        <f>4970478510/1000000</f>
        <v>4970.4785099999999</v>
      </c>
      <c r="D41" s="27">
        <v>1276.2163539999999</v>
      </c>
      <c r="E41" s="27">
        <v>546.70000000000005</v>
      </c>
      <c r="F41" s="27">
        <v>736.93118800000002</v>
      </c>
      <c r="G41" s="11">
        <f>SUM(C41:F41)</f>
        <v>7530.3260520000003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4</v>
      </c>
      <c r="D44" s="27">
        <v>7</v>
      </c>
      <c r="E44" s="27">
        <v>0</v>
      </c>
      <c r="F44" s="27">
        <v>0</v>
      </c>
      <c r="G44" s="27">
        <f>SUM(C44:F44)</f>
        <v>11</v>
      </c>
      <c r="H44" s="7"/>
      <c r="I44" s="7"/>
    </row>
    <row r="45" spans="2:9" x14ac:dyDescent="0.25">
      <c r="B45" s="14" t="s">
        <v>39</v>
      </c>
      <c r="C45" s="27">
        <f>4794691/1000000</f>
        <v>4.7946910000000003</v>
      </c>
      <c r="D45" s="27">
        <v>0.121366</v>
      </c>
      <c r="E45" s="27">
        <v>0</v>
      </c>
      <c r="F45" s="27">
        <v>0</v>
      </c>
      <c r="G45" s="11">
        <f>SUM(C45:F45)</f>
        <v>4.9160570000000003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151322</v>
      </c>
      <c r="D48" s="27">
        <v>75999</v>
      </c>
      <c r="E48" s="27">
        <v>11054</v>
      </c>
      <c r="F48" s="27">
        <v>54652</v>
      </c>
      <c r="G48" s="27">
        <f>SUM(C48:F48)</f>
        <v>293027</v>
      </c>
      <c r="H48" s="7"/>
      <c r="I48" s="7"/>
    </row>
    <row r="49" spans="2:9" x14ac:dyDescent="0.25">
      <c r="B49" s="14" t="s">
        <v>42</v>
      </c>
      <c r="C49" s="27">
        <f>(91499726632+1752195004)/1000000</f>
        <v>93251.921635999999</v>
      </c>
      <c r="D49" s="27">
        <v>29620</v>
      </c>
      <c r="E49" s="27">
        <v>10964.308652000002</v>
      </c>
      <c r="F49" s="27">
        <v>11996.655691</v>
      </c>
      <c r="G49" s="11">
        <f>SUM(C49:F49)</f>
        <v>145832.88597899998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103142</v>
      </c>
      <c r="D55" s="27">
        <v>7026</v>
      </c>
      <c r="E55" s="27">
        <v>1642</v>
      </c>
      <c r="F55" s="27">
        <v>3693</v>
      </c>
      <c r="G55" s="27">
        <f t="shared" ref="G55:G71" si="0">SUM(C55:F55)</f>
        <v>115503</v>
      </c>
    </row>
    <row r="56" spans="2:9" x14ac:dyDescent="0.25">
      <c r="B56" s="14" t="s">
        <v>47</v>
      </c>
      <c r="C56" s="27">
        <v>76267.420035000003</v>
      </c>
      <c r="D56" s="27">
        <v>10569.4388310003</v>
      </c>
      <c r="E56" s="27">
        <v>2359.3426639999998</v>
      </c>
      <c r="F56" s="27">
        <v>5508</v>
      </c>
      <c r="G56" s="27">
        <f t="shared" si="0"/>
        <v>94704.201530000297</v>
      </c>
    </row>
    <row r="57" spans="2:9" x14ac:dyDescent="0.25">
      <c r="B57" s="14" t="s">
        <v>48</v>
      </c>
      <c r="C57" s="27">
        <v>13.789833433518799</v>
      </c>
      <c r="D57" s="27">
        <v>38</v>
      </c>
      <c r="E57" s="27">
        <v>19.97198538367844</v>
      </c>
      <c r="F57" s="27">
        <v>21</v>
      </c>
      <c r="G57" s="27">
        <f>AVERAGE(C57:F57)</f>
        <v>23.190454704299309</v>
      </c>
    </row>
    <row r="58" spans="2:9" x14ac:dyDescent="0.25">
      <c r="B58" s="14" t="s">
        <v>49</v>
      </c>
      <c r="C58" s="27">
        <v>919680</v>
      </c>
      <c r="D58" s="27">
        <v>159033</v>
      </c>
      <c r="E58" s="27">
        <v>53668</v>
      </c>
      <c r="F58" s="27">
        <v>85017</v>
      </c>
      <c r="G58" s="27">
        <f t="shared" si="0"/>
        <v>1217398</v>
      </c>
    </row>
    <row r="59" spans="2:9" x14ac:dyDescent="0.25">
      <c r="B59" s="14" t="s">
        <v>50</v>
      </c>
      <c r="C59" s="27">
        <v>2003807.534771</v>
      </c>
      <c r="D59" s="27">
        <v>291859.48126500001</v>
      </c>
      <c r="E59" s="27">
        <v>110116.191269</v>
      </c>
      <c r="F59" s="27">
        <v>201564</v>
      </c>
      <c r="G59" s="11">
        <f t="shared" si="0"/>
        <v>2607347.2073050002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5024</v>
      </c>
      <c r="D67" s="27">
        <v>2212</v>
      </c>
      <c r="E67" s="27">
        <v>2559</v>
      </c>
      <c r="F67" s="27">
        <v>8395</v>
      </c>
      <c r="G67" s="27">
        <f t="shared" si="0"/>
        <v>18190</v>
      </c>
    </row>
    <row r="68" spans="2:8" x14ac:dyDescent="0.25">
      <c r="B68" s="14" t="s">
        <v>47</v>
      </c>
      <c r="C68" s="27">
        <v>4272.4210650000005</v>
      </c>
      <c r="D68" s="27">
        <v>2336.8224370000098</v>
      </c>
      <c r="E68" s="27">
        <v>3178.7421530000001</v>
      </c>
      <c r="F68" s="27">
        <v>6879</v>
      </c>
      <c r="G68" s="27">
        <f t="shared" si="0"/>
        <v>16666.985655000011</v>
      </c>
    </row>
    <row r="69" spans="2:8" x14ac:dyDescent="0.25">
      <c r="B69" s="14" t="s">
        <v>48</v>
      </c>
      <c r="C69" s="27">
        <v>32.105294585987302</v>
      </c>
      <c r="D69" s="27">
        <v>54</v>
      </c>
      <c r="E69" s="27">
        <v>49.258694802657288</v>
      </c>
      <c r="F69" s="27">
        <v>39</v>
      </c>
      <c r="G69" s="27">
        <f>AVERAGE(C69:F69)</f>
        <v>43.590997347161149</v>
      </c>
    </row>
    <row r="70" spans="2:8" x14ac:dyDescent="0.25">
      <c r="B70" s="14" t="s">
        <v>49</v>
      </c>
      <c r="C70" s="27">
        <v>140940</v>
      </c>
      <c r="D70" s="27">
        <v>92472</v>
      </c>
      <c r="E70" s="27">
        <v>76221</v>
      </c>
      <c r="F70" s="27">
        <v>285207</v>
      </c>
      <c r="G70" s="27">
        <f t="shared" si="0"/>
        <v>594840</v>
      </c>
    </row>
    <row r="71" spans="2:8" x14ac:dyDescent="0.25">
      <c r="B71" s="14" t="s">
        <v>50</v>
      </c>
      <c r="C71" s="27">
        <v>152006.19404</v>
      </c>
      <c r="D71" s="27">
        <v>111796.522344</v>
      </c>
      <c r="E71" s="27">
        <v>83837.210540999993</v>
      </c>
      <c r="F71" s="27">
        <v>273469</v>
      </c>
      <c r="G71" s="11">
        <f t="shared" si="0"/>
        <v>621108.92692500004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108166</v>
      </c>
      <c r="D73" s="19">
        <f>+D67+D61+D55</f>
        <v>9238</v>
      </c>
      <c r="E73" s="19">
        <v>4201</v>
      </c>
      <c r="F73" s="19">
        <f t="shared" ref="F73:F74" si="1">+F55+F67</f>
        <v>12088</v>
      </c>
      <c r="G73" s="19">
        <f>SUM(C73:F73)</f>
        <v>133693</v>
      </c>
    </row>
    <row r="74" spans="2:8" x14ac:dyDescent="0.25">
      <c r="B74" s="18" t="s">
        <v>47</v>
      </c>
      <c r="C74" s="19">
        <f>+C56+C68</f>
        <v>80539.841100000005</v>
      </c>
      <c r="D74" s="19">
        <f>+D68+D62+D56</f>
        <v>12906.261268000309</v>
      </c>
      <c r="E74" s="19">
        <v>5538.0848169999999</v>
      </c>
      <c r="F74" s="19">
        <f t="shared" si="1"/>
        <v>12387</v>
      </c>
      <c r="G74" s="22">
        <f>SUM(C74:F74)</f>
        <v>111371.18718500031</v>
      </c>
    </row>
    <row r="75" spans="2:8" x14ac:dyDescent="0.25">
      <c r="B75" s="18" t="s">
        <v>48</v>
      </c>
      <c r="C75" s="19">
        <v>14.6405339940462</v>
      </c>
      <c r="D75" s="19">
        <f>(+D57+D63+D69)/3</f>
        <v>30.666666666666668</v>
      </c>
      <c r="E75" s="19">
        <v>37.811711497262557</v>
      </c>
      <c r="F75" s="19">
        <f>(F57+F69)/2</f>
        <v>30</v>
      </c>
      <c r="G75" s="19">
        <f>AVERAGE(C75:F75)</f>
        <v>28.279728039493854</v>
      </c>
    </row>
    <row r="76" spans="2:8" x14ac:dyDescent="0.25">
      <c r="B76" s="18" t="s">
        <v>49</v>
      </c>
      <c r="C76" s="19">
        <f>+C58+C70</f>
        <v>1060620</v>
      </c>
      <c r="D76" s="19">
        <f t="shared" ref="D76" si="2">+D70+D64+D58</f>
        <v>251505</v>
      </c>
      <c r="E76" s="19">
        <v>129889</v>
      </c>
      <c r="F76" s="19">
        <f t="shared" ref="F76:F77" si="3">+F58+F70</f>
        <v>370224</v>
      </c>
      <c r="G76" s="19">
        <f>SUM(C76:F76)</f>
        <v>1812238</v>
      </c>
    </row>
    <row r="77" spans="2:8" x14ac:dyDescent="0.25">
      <c r="B77" s="18" t="s">
        <v>50</v>
      </c>
      <c r="C77" s="19">
        <f>+C59+C71</f>
        <v>2155813.728811</v>
      </c>
      <c r="D77" s="19">
        <f>+D71+D65+D59</f>
        <v>403656.00360900001</v>
      </c>
      <c r="E77" s="19">
        <v>193953.40181000001</v>
      </c>
      <c r="F77" s="19">
        <f t="shared" si="3"/>
        <v>475033</v>
      </c>
      <c r="G77" s="22">
        <f>SUM(C77:F77)</f>
        <v>3228456.1342300004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21027.696223999999</v>
      </c>
      <c r="D85" s="24">
        <v>1416</v>
      </c>
      <c r="E85" s="24">
        <v>63</v>
      </c>
      <c r="F85" s="24">
        <v>1679.2285220000001</v>
      </c>
      <c r="G85" s="11">
        <f>SUM(C85:F85)</f>
        <v>24185.924746000001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0">
        <v>0</v>
      </c>
      <c r="E96" s="20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170.35836</v>
      </c>
      <c r="D97" s="20">
        <v>0</v>
      </c>
      <c r="E97" s="20">
        <v>0</v>
      </c>
      <c r="F97" s="27">
        <v>75.959046999999998</v>
      </c>
      <c r="G97" s="11">
        <f>SUM(C97:F97)</f>
        <v>246.317407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21198.054583999998</v>
      </c>
      <c r="D103" s="19">
        <f t="shared" si="4"/>
        <v>1416</v>
      </c>
      <c r="E103" s="19">
        <f>+E85</f>
        <v>63</v>
      </c>
      <c r="F103" s="19">
        <f>+F85+F97</f>
        <v>1755.1875690000002</v>
      </c>
      <c r="G103" s="22">
        <f>SUM(C103:F103)</f>
        <v>24432.242152999999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2.8181596777886915</v>
      </c>
      <c r="D107" s="13">
        <v>2.5499999999999998</v>
      </c>
      <c r="E107" s="61">
        <v>2.7327956989247308</v>
      </c>
      <c r="F107" s="13">
        <v>2.54</v>
      </c>
      <c r="G107" s="13">
        <f>AVERAGE(C107:F107)</f>
        <v>2.6602388441783553</v>
      </c>
    </row>
    <row r="108" spans="2:8" x14ac:dyDescent="0.25">
      <c r="B108" s="14" t="s">
        <v>60</v>
      </c>
      <c r="C108" s="13">
        <v>2.2426310771866174</v>
      </c>
      <c r="D108" s="13">
        <v>2.59</v>
      </c>
      <c r="E108" s="61">
        <v>2.5093676814988291</v>
      </c>
      <c r="F108" s="13">
        <v>2.58</v>
      </c>
      <c r="G108" s="13">
        <f>AVERAGE(C108:F108)</f>
        <v>2.4804996896713618</v>
      </c>
    </row>
    <row r="109" spans="2:8" x14ac:dyDescent="0.25">
      <c r="B109" s="14" t="s">
        <v>61</v>
      </c>
      <c r="C109" s="13">
        <v>2.1430923364345968</v>
      </c>
      <c r="D109" s="13">
        <v>2.59</v>
      </c>
      <c r="E109" s="61">
        <v>2.14</v>
      </c>
      <c r="F109" s="13">
        <v>2.58</v>
      </c>
      <c r="G109" s="13">
        <f>AVERAGE(C109:F109)</f>
        <v>2.3632730841086493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2</v>
      </c>
      <c r="D111" s="13">
        <v>1.95</v>
      </c>
      <c r="E111" s="3">
        <v>1.61</v>
      </c>
      <c r="F111" s="13">
        <v>1.8</v>
      </c>
      <c r="G111" s="13">
        <f>AVERAGE(C111:F111)</f>
        <v>1.84</v>
      </c>
    </row>
    <row r="112" spans="2:8" x14ac:dyDescent="0.25">
      <c r="B112" s="14" t="s">
        <v>60</v>
      </c>
      <c r="C112" s="13">
        <v>1.9901530612244924</v>
      </c>
      <c r="D112" s="13">
        <v>2.13</v>
      </c>
      <c r="E112" s="3">
        <v>1.84</v>
      </c>
      <c r="F112" s="13">
        <v>2.12</v>
      </c>
      <c r="G112" s="13">
        <f>AVERAGE(C112:F112)</f>
        <v>2.0200382653061233</v>
      </c>
    </row>
    <row r="113" spans="2:9" x14ac:dyDescent="0.25">
      <c r="B113" s="14" t="s">
        <v>61</v>
      </c>
      <c r="C113" s="13">
        <v>1.8731753530867199</v>
      </c>
      <c r="D113" s="13">
        <v>2.13</v>
      </c>
      <c r="E113" s="3">
        <v>1.95</v>
      </c>
      <c r="F113" s="13">
        <v>2.12</v>
      </c>
      <c r="G113" s="13">
        <f>AVERAGE(C113:F113)</f>
        <v>2.01829383827168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1.5145946835796091</v>
      </c>
      <c r="D116" s="13">
        <v>1.79</v>
      </c>
      <c r="E116" s="61">
        <v>1.3678770949720669</v>
      </c>
      <c r="F116" s="13">
        <v>1.78</v>
      </c>
      <c r="G116" s="13">
        <f>AVERAGE(C116:F116)</f>
        <v>1.6131179446379191</v>
      </c>
    </row>
    <row r="117" spans="2:9" x14ac:dyDescent="0.25">
      <c r="B117" s="14" t="s">
        <v>60</v>
      </c>
      <c r="C117" s="13">
        <v>1.758654627108392</v>
      </c>
      <c r="D117" s="13">
        <v>1.79</v>
      </c>
      <c r="E117" s="61">
        <v>1.5919161676646707</v>
      </c>
      <c r="F117" s="13">
        <v>1.78</v>
      </c>
      <c r="G117" s="13">
        <f>AVERAGE(C117:F117)</f>
        <v>1.7301426986932658</v>
      </c>
    </row>
    <row r="118" spans="2:9" x14ac:dyDescent="0.25">
      <c r="B118" s="14" t="s">
        <v>61</v>
      </c>
      <c r="C118" s="13">
        <v>1.6123615830472964</v>
      </c>
      <c r="D118" s="13">
        <v>1.74</v>
      </c>
      <c r="E118" s="61">
        <v>1.8899037274746977</v>
      </c>
      <c r="F118" s="13">
        <v>1.74</v>
      </c>
      <c r="G118" s="13">
        <f>AVERAGE(C118:F118)</f>
        <v>1.7455663276304985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61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61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61">
        <v>1.5</v>
      </c>
      <c r="F122" s="13">
        <v>1.43</v>
      </c>
      <c r="G122" s="13">
        <f>AVERAGE(C122:F122)</f>
        <v>1.4474999999999998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2.1</v>
      </c>
      <c r="D127" s="11">
        <v>2.1160950000000001</v>
      </c>
      <c r="E127" s="13">
        <v>2.2562965749319654</v>
      </c>
      <c r="F127" s="11">
        <v>0</v>
      </c>
      <c r="G127" s="11">
        <f>AVERAGE(C127:E127)</f>
        <v>2.1574638583106549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239219</v>
      </c>
      <c r="D130" s="27">
        <v>3447</v>
      </c>
      <c r="E130" s="27">
        <v>8100</v>
      </c>
      <c r="F130" s="27">
        <v>763</v>
      </c>
      <c r="G130" s="27">
        <f>SUM(C130:F130)</f>
        <v>251529</v>
      </c>
    </row>
    <row r="131" spans="2:9" x14ac:dyDescent="0.25">
      <c r="B131" s="14" t="s">
        <v>71</v>
      </c>
      <c r="C131" s="27">
        <v>158899.670683</v>
      </c>
      <c r="D131" s="27">
        <v>3915</v>
      </c>
      <c r="E131" s="27">
        <v>977000</v>
      </c>
      <c r="F131" s="27">
        <v>772.83468400000004</v>
      </c>
      <c r="G131" s="11">
        <f>SUM(C131:F131)</f>
        <v>1140587.5053669999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838753</v>
      </c>
      <c r="D134" s="27">
        <v>405521</v>
      </c>
      <c r="E134" s="27">
        <v>152415</v>
      </c>
      <c r="F134" s="27">
        <v>372396</v>
      </c>
      <c r="G134" s="27">
        <f>SUM(C134:F134)</f>
        <v>1769085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15049</v>
      </c>
      <c r="G138" s="27">
        <f>SUM(C138:F138)</f>
        <v>15049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171</v>
      </c>
      <c r="G139" s="27">
        <f>SUM(C139:F139)</f>
        <v>171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797</v>
      </c>
      <c r="E146" s="27"/>
      <c r="F146" s="24">
        <v>678</v>
      </c>
      <c r="G146" s="27">
        <f>SUM(C146:F146)</f>
        <v>1475</v>
      </c>
    </row>
    <row r="147" spans="2:8" x14ac:dyDescent="0.25">
      <c r="B147" s="14" t="s">
        <v>82</v>
      </c>
      <c r="C147" s="27">
        <v>0</v>
      </c>
      <c r="D147" s="27">
        <v>17.456</v>
      </c>
      <c r="E147" s="27"/>
      <c r="F147" s="24">
        <v>7.1687500000000002</v>
      </c>
      <c r="G147" s="11">
        <f>SUM(C147:F147)</f>
        <v>24.624749999999999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1</v>
      </c>
      <c r="E150" s="27">
        <v>0</v>
      </c>
      <c r="F150" s="27">
        <v>0</v>
      </c>
      <c r="G150" s="27">
        <f>SUM(C150:F150)</f>
        <v>1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806</v>
      </c>
      <c r="E154" s="35">
        <v>0</v>
      </c>
      <c r="F154" s="34">
        <v>0</v>
      </c>
      <c r="G154" s="27">
        <f>SUM(C154:F154)</f>
        <v>806</v>
      </c>
      <c r="H154"/>
    </row>
    <row r="155" spans="2:8" x14ac:dyDescent="0.25">
      <c r="B155" s="14" t="s">
        <v>88</v>
      </c>
      <c r="C155" s="11">
        <v>0</v>
      </c>
      <c r="D155" s="27">
        <v>12.68</v>
      </c>
      <c r="E155" s="35">
        <v>0</v>
      </c>
      <c r="F155" s="34">
        <v>0</v>
      </c>
      <c r="G155" s="11">
        <f>SUM(C155:F155)</f>
        <v>12.68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1604</v>
      </c>
      <c r="E158" s="19">
        <v>0</v>
      </c>
      <c r="F158" s="19">
        <f>F146+F154</f>
        <v>678</v>
      </c>
      <c r="G158" s="19">
        <f>SUM(C158:F158)</f>
        <v>2282</v>
      </c>
    </row>
    <row r="159" spans="2:8" x14ac:dyDescent="0.25">
      <c r="B159" s="18" t="s">
        <v>91</v>
      </c>
      <c r="C159" s="19">
        <v>0</v>
      </c>
      <c r="D159" s="19">
        <f>D147+D151+D155</f>
        <v>30.215999999999998</v>
      </c>
      <c r="E159" s="19">
        <v>0</v>
      </c>
      <c r="F159" s="19">
        <f>F147+F155</f>
        <v>7.1687500000000002</v>
      </c>
      <c r="G159" s="22">
        <f>SUM(C159:F159)</f>
        <v>37.384749999999997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3089</v>
      </c>
      <c r="D162" s="27">
        <v>55037</v>
      </c>
      <c r="E162" s="27">
        <v>5452</v>
      </c>
      <c r="F162" s="27">
        <v>27825</v>
      </c>
      <c r="G162" s="27">
        <f>SUM(C162:F162)</f>
        <v>91403</v>
      </c>
    </row>
    <row r="163" spans="2:8" x14ac:dyDescent="0.25">
      <c r="B163" s="14" t="s">
        <v>88</v>
      </c>
      <c r="C163" s="27">
        <f>71482129/1000000</f>
        <v>71.482129</v>
      </c>
      <c r="D163" s="27">
        <v>178.22278399999996</v>
      </c>
      <c r="E163" s="27">
        <v>83.819799000000003</v>
      </c>
      <c r="F163" s="27">
        <v>172.275555</v>
      </c>
      <c r="G163" s="11">
        <f>SUM(C163:F163)</f>
        <v>505.80026699999996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1015</v>
      </c>
      <c r="D167" s="27">
        <v>4544</v>
      </c>
      <c r="E167" s="27">
        <v>102</v>
      </c>
      <c r="F167" s="27">
        <v>550</v>
      </c>
      <c r="G167" s="27">
        <f>SUM(C167:F167)</f>
        <v>6211</v>
      </c>
    </row>
    <row r="168" spans="2:8" x14ac:dyDescent="0.25">
      <c r="B168" s="14" t="s">
        <v>96</v>
      </c>
      <c r="C168" s="27">
        <f>35525000/1000000</f>
        <v>35.524999999999999</v>
      </c>
      <c r="D168" s="27">
        <v>113.389169</v>
      </c>
      <c r="E168" s="27">
        <v>3.5</v>
      </c>
      <c r="F168" s="27">
        <v>20.309999999999999</v>
      </c>
      <c r="G168" s="11">
        <f>SUM(C168:F168)</f>
        <v>172.72416899999999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1712</v>
      </c>
      <c r="D171" s="27">
        <v>349</v>
      </c>
      <c r="E171" s="27">
        <v>85</v>
      </c>
      <c r="F171" s="27">
        <v>339</v>
      </c>
      <c r="G171" s="27">
        <f>SUM(C171:F171)</f>
        <v>2485</v>
      </c>
    </row>
    <row r="172" spans="2:8" x14ac:dyDescent="0.25">
      <c r="B172" s="14" t="s">
        <v>96</v>
      </c>
      <c r="C172" s="27">
        <f>59920000/1000000</f>
        <v>59.92</v>
      </c>
      <c r="D172" s="27">
        <v>7.3289999999999997</v>
      </c>
      <c r="E172" s="27">
        <v>2.1</v>
      </c>
      <c r="F172" s="27">
        <v>8.4610000000000003</v>
      </c>
      <c r="G172" s="11">
        <f>SUM(C172:F172)</f>
        <v>77.809999999999988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202</v>
      </c>
      <c r="D175" s="27">
        <v>350</v>
      </c>
      <c r="E175" s="27">
        <v>163</v>
      </c>
      <c r="F175" s="27">
        <v>42</v>
      </c>
      <c r="G175" s="27">
        <f>SUM(C175:F175)</f>
        <v>757</v>
      </c>
    </row>
    <row r="176" spans="2:8" x14ac:dyDescent="0.25">
      <c r="B176" s="14" t="s">
        <v>96</v>
      </c>
      <c r="C176" s="27">
        <f>21040000/1000000</f>
        <v>21.04</v>
      </c>
      <c r="D176" s="27">
        <v>36.92</v>
      </c>
      <c r="E176" s="27">
        <v>9.06</v>
      </c>
      <c r="F176" s="27">
        <v>4.43</v>
      </c>
      <c r="G176" s="11">
        <f>SUM(C176:F176)</f>
        <v>71.449999999999989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354</v>
      </c>
      <c r="D179" s="27">
        <v>178916</v>
      </c>
      <c r="E179" s="27">
        <v>0</v>
      </c>
      <c r="F179" s="27">
        <v>0</v>
      </c>
      <c r="G179" s="27">
        <f>SUM(C179:F179)</f>
        <v>179270</v>
      </c>
    </row>
    <row r="180" spans="2:8" x14ac:dyDescent="0.25">
      <c r="B180" s="14" t="s">
        <v>96</v>
      </c>
      <c r="C180" s="27">
        <f>14315000/1000000</f>
        <v>14.315</v>
      </c>
      <c r="D180" s="27">
        <v>4135.3051836915802</v>
      </c>
      <c r="E180" s="27">
        <v>0</v>
      </c>
      <c r="F180" s="27">
        <v>0</v>
      </c>
      <c r="G180" s="11">
        <f>SUM(C180:F180)</f>
        <v>4149.6201836915798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3283</v>
      </c>
      <c r="D183" s="19">
        <f>D167+D171+D175+D179</f>
        <v>184159</v>
      </c>
      <c r="E183" s="19">
        <v>350</v>
      </c>
      <c r="F183" s="19">
        <f>+F179+F175+F171+F167</f>
        <v>931</v>
      </c>
      <c r="G183" s="19">
        <f>SUM(C183:F183)</f>
        <v>188723</v>
      </c>
    </row>
    <row r="184" spans="2:8" x14ac:dyDescent="0.25">
      <c r="B184" s="18" t="s">
        <v>103</v>
      </c>
      <c r="C184" s="19">
        <f>+C180+C176+C172+C168</f>
        <v>130.80000000000001</v>
      </c>
      <c r="D184" s="19">
        <f>D168+D172+D176+D180</f>
        <v>4292.94335269158</v>
      </c>
      <c r="E184" s="19">
        <v>14.66</v>
      </c>
      <c r="F184" s="19">
        <f>+F180+F176+F172+F168</f>
        <v>33.201000000000001</v>
      </c>
      <c r="G184" s="22">
        <f>SUM(C184:F184)</f>
        <v>4471.6043526915801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1597</v>
      </c>
      <c r="D187" s="27"/>
      <c r="E187" s="27">
        <v>89</v>
      </c>
      <c r="F187" s="27">
        <v>29434</v>
      </c>
      <c r="G187" s="27">
        <f>SUM(C187:F187)</f>
        <v>31120</v>
      </c>
    </row>
    <row r="188" spans="2:8" x14ac:dyDescent="0.25">
      <c r="B188" s="14" t="s">
        <v>106</v>
      </c>
      <c r="C188" s="27">
        <f>15696454/1000000</f>
        <v>15.696453999999999</v>
      </c>
      <c r="D188" s="27"/>
      <c r="E188" s="27">
        <v>3.5</v>
      </c>
      <c r="F188" s="27">
        <v>212.64530500000001</v>
      </c>
      <c r="G188" s="11">
        <f>SUM(C188:F188)</f>
        <v>231.841759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7969</v>
      </c>
      <c r="D191" s="19"/>
      <c r="E191" s="19">
        <v>5891</v>
      </c>
      <c r="F191" s="19">
        <f>F158+F162+F183+F187</f>
        <v>58868</v>
      </c>
      <c r="G191" s="19">
        <f>SUM(C191:F191)</f>
        <v>72728</v>
      </c>
    </row>
    <row r="192" spans="2:8" x14ac:dyDescent="0.25">
      <c r="B192" s="18" t="s">
        <v>109</v>
      </c>
      <c r="C192" s="19">
        <f>C188+C163+C184</f>
        <v>217.97858300000001</v>
      </c>
      <c r="D192" s="19"/>
      <c r="E192" s="19">
        <v>101.979799</v>
      </c>
      <c r="F192" s="19">
        <f>F159+F184+F163+F188</f>
        <v>425.29061000000002</v>
      </c>
      <c r="G192" s="22">
        <f>SUM(C192:F192)</f>
        <v>745.24899200000004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62">
        <v>55037</v>
      </c>
      <c r="D6" s="62">
        <v>8170</v>
      </c>
      <c r="E6" s="62">
        <v>7980</v>
      </c>
      <c r="F6" s="62">
        <v>9612</v>
      </c>
      <c r="G6" s="12">
        <f>+F6+E6+D6+C6</f>
        <v>80799</v>
      </c>
    </row>
    <row r="7" spans="1:7" x14ac:dyDescent="0.25">
      <c r="B7" s="14" t="s">
        <v>10</v>
      </c>
      <c r="C7" s="62">
        <v>556</v>
      </c>
      <c r="D7" s="62">
        <v>256</v>
      </c>
      <c r="E7" s="62">
        <v>24</v>
      </c>
      <c r="F7" s="24">
        <v>139</v>
      </c>
      <c r="G7" s="12">
        <f>+F7+E7+D7+C7</f>
        <v>975</v>
      </c>
    </row>
    <row r="8" spans="1:7" x14ac:dyDescent="0.25">
      <c r="B8" s="18" t="s">
        <v>11</v>
      </c>
      <c r="C8" s="25">
        <f>SUM(C6:C7)</f>
        <v>55593</v>
      </c>
      <c r="D8" s="25">
        <f>+D6+D7</f>
        <v>8426</v>
      </c>
      <c r="E8" s="25">
        <v>8004</v>
      </c>
      <c r="F8" s="25">
        <v>9751</v>
      </c>
      <c r="G8" s="25">
        <f>+F8+E8+D8+C8</f>
        <v>81774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766332</v>
      </c>
      <c r="D12" s="17">
        <v>96919</v>
      </c>
      <c r="E12" s="17">
        <v>39465</v>
      </c>
      <c r="F12" s="17">
        <v>0</v>
      </c>
      <c r="G12" s="17">
        <f>SUM(C12:F12)</f>
        <v>902716</v>
      </c>
    </row>
    <row r="13" spans="1:7" x14ac:dyDescent="0.25">
      <c r="B13" s="16" t="s">
        <v>15</v>
      </c>
      <c r="C13" s="17">
        <v>2710868</v>
      </c>
      <c r="D13" s="17">
        <v>569794</v>
      </c>
      <c r="E13" s="17">
        <v>231556</v>
      </c>
      <c r="F13" s="17">
        <v>0</v>
      </c>
      <c r="G13" s="17">
        <f>SUM(C13:F13)</f>
        <v>3512218</v>
      </c>
    </row>
    <row r="14" spans="1:7" x14ac:dyDescent="0.25">
      <c r="B14" s="18" t="s">
        <v>16</v>
      </c>
      <c r="C14" s="19">
        <f>C13+C12</f>
        <v>3477200</v>
      </c>
      <c r="D14" s="19">
        <v>950387</v>
      </c>
      <c r="E14" s="19">
        <v>271021</v>
      </c>
      <c r="F14" s="19">
        <v>344853</v>
      </c>
      <c r="G14" s="19">
        <f>SUM(C14:F14)</f>
        <v>5043461</v>
      </c>
    </row>
    <row r="15" spans="1:7" x14ac:dyDescent="0.25">
      <c r="B15" s="18" t="s">
        <v>17</v>
      </c>
      <c r="C15" s="19">
        <v>548745</v>
      </c>
      <c r="D15" s="19">
        <v>179384</v>
      </c>
      <c r="E15" s="19">
        <v>3396</v>
      </c>
      <c r="F15" s="19">
        <v>155655</v>
      </c>
      <c r="G15" s="19">
        <f>SUM(C15:F15)</f>
        <v>887180</v>
      </c>
    </row>
    <row r="16" spans="1:7" x14ac:dyDescent="0.25">
      <c r="B16" s="18" t="s">
        <v>18</v>
      </c>
      <c r="C16" s="19">
        <f>C15+C14</f>
        <v>4025945</v>
      </c>
      <c r="D16" s="19">
        <f>+D14+D15</f>
        <v>1129771</v>
      </c>
      <c r="E16" s="19">
        <v>274417</v>
      </c>
      <c r="F16" s="19">
        <v>500508</v>
      </c>
      <c r="G16" s="19">
        <f>SUM(C16:F16)</f>
        <v>5930641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3459</v>
      </c>
      <c r="D19" s="27">
        <v>4</v>
      </c>
      <c r="E19" s="27">
        <v>0</v>
      </c>
      <c r="F19" s="27">
        <v>0</v>
      </c>
      <c r="G19" s="27">
        <f>SUM(C19:F19)</f>
        <v>3463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4029404</v>
      </c>
      <c r="D21" s="19">
        <v>1129775</v>
      </c>
      <c r="E21" s="19">
        <v>274417</v>
      </c>
      <c r="F21" s="19">
        <f>F16</f>
        <v>500508</v>
      </c>
      <c r="G21" s="19">
        <f>SUM(C21:F21)</f>
        <v>5934104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405117</v>
      </c>
      <c r="D24" s="19">
        <v>210609</v>
      </c>
      <c r="E24" s="19">
        <v>157999</v>
      </c>
      <c r="F24" s="19">
        <v>688851</v>
      </c>
      <c r="G24" s="19">
        <f>SUM(C24:F24)</f>
        <v>1462576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4434521</v>
      </c>
      <c r="D27" s="19">
        <f>+D24+D21</f>
        <v>1340384</v>
      </c>
      <c r="E27" s="19">
        <f>+E21+E24</f>
        <v>432416</v>
      </c>
      <c r="F27" s="19">
        <f>+F24+F21</f>
        <v>1189359</v>
      </c>
      <c r="G27" s="19">
        <f>SUM(C27:F27)</f>
        <v>7396680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1219512</v>
      </c>
      <c r="D30" s="27">
        <v>126576</v>
      </c>
      <c r="E30" s="27">
        <v>75430</v>
      </c>
      <c r="F30" s="27">
        <v>184038</v>
      </c>
      <c r="G30" s="27">
        <f>SUM(C30:F30)</f>
        <v>1605556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4631489754503</v>
      </c>
      <c r="D33" s="27">
        <v>710603877707</v>
      </c>
      <c r="E33" s="27">
        <v>310847721131</v>
      </c>
      <c r="F33" s="27">
        <v>526138126700</v>
      </c>
      <c r="G33" s="27">
        <f>SUM(C33:F33)</f>
        <v>6179079480041</v>
      </c>
    </row>
    <row r="34" spans="2:9" x14ac:dyDescent="0.25">
      <c r="B34" s="14" t="s">
        <v>30</v>
      </c>
      <c r="C34" s="27">
        <v>179648639344</v>
      </c>
      <c r="D34" s="27">
        <v>74774700908</v>
      </c>
      <c r="E34" s="27">
        <v>49745375300</v>
      </c>
      <c r="F34" s="27">
        <v>213083426495</v>
      </c>
      <c r="G34" s="27">
        <f>SUM(C34:F34)</f>
        <v>517252142047</v>
      </c>
    </row>
    <row r="35" spans="2:9" x14ac:dyDescent="0.25">
      <c r="B35" s="39" t="s">
        <v>31</v>
      </c>
      <c r="C35" s="40">
        <f>SUM(C33:C34)</f>
        <v>4811138393847</v>
      </c>
      <c r="D35" s="40">
        <f>+D34+D33</f>
        <v>785378578615</v>
      </c>
      <c r="E35" s="40">
        <v>360593096431</v>
      </c>
      <c r="F35" s="40">
        <v>739221553195</v>
      </c>
      <c r="G35" s="40">
        <f>SUM(C35:F35)</f>
        <v>6696331622088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742669</v>
      </c>
      <c r="D40" s="27">
        <v>113139</v>
      </c>
      <c r="E40" s="27">
        <v>48273</v>
      </c>
      <c r="F40" s="27">
        <v>65916</v>
      </c>
      <c r="G40" s="27">
        <f>SUM(C40:F40)</f>
        <v>969997</v>
      </c>
      <c r="H40" s="7"/>
      <c r="I40" s="7"/>
    </row>
    <row r="41" spans="2:9" x14ac:dyDescent="0.25">
      <c r="B41" s="14" t="s">
        <v>36</v>
      </c>
      <c r="C41" s="27">
        <f>4330658521/1000000</f>
        <v>4330.6585210000003</v>
      </c>
      <c r="D41" s="27">
        <v>1260.704297</v>
      </c>
      <c r="E41" s="27">
        <v>513.5</v>
      </c>
      <c r="F41" s="27">
        <v>675.60136799999998</v>
      </c>
      <c r="G41" s="11">
        <f>SUM(C41:F41)</f>
        <v>6780.4641860000002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3</v>
      </c>
      <c r="D44" s="27">
        <v>17</v>
      </c>
      <c r="E44" s="27"/>
      <c r="F44" s="27">
        <v>0</v>
      </c>
      <c r="G44" s="27">
        <f>SUM(C44:F44)</f>
        <v>20</v>
      </c>
      <c r="H44" s="7"/>
      <c r="I44" s="7"/>
    </row>
    <row r="45" spans="2:9" x14ac:dyDescent="0.25">
      <c r="B45" s="14" t="s">
        <v>39</v>
      </c>
      <c r="C45" s="27">
        <f>4921364/1000000</f>
        <v>4.9213639999999996</v>
      </c>
      <c r="D45" s="27">
        <v>0.27741199999999999</v>
      </c>
      <c r="E45" s="27"/>
      <c r="F45" s="27">
        <v>0</v>
      </c>
      <c r="G45" s="11">
        <f>SUM(C45:F45)</f>
        <v>5.1987759999999996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145990</v>
      </c>
      <c r="D48" s="27">
        <v>72886</v>
      </c>
      <c r="E48" s="27">
        <v>10039</v>
      </c>
      <c r="F48" s="27">
        <v>56109</v>
      </c>
      <c r="G48" s="27">
        <f>SUM(C48:F48)</f>
        <v>285024</v>
      </c>
      <c r="H48" s="7"/>
      <c r="I48" s="7"/>
    </row>
    <row r="49" spans="2:9" x14ac:dyDescent="0.25">
      <c r="B49" s="14" t="s">
        <v>42</v>
      </c>
      <c r="C49" s="27">
        <f>(99885867639+1577489715)/1000000</f>
        <v>101463.35735400001</v>
      </c>
      <c r="D49" s="27">
        <v>31724</v>
      </c>
      <c r="E49" s="27">
        <v>11075.880341</v>
      </c>
      <c r="F49" s="27">
        <v>12916.873245999999</v>
      </c>
      <c r="G49" s="11">
        <f>SUM(C49:F49)</f>
        <v>157180.11094100002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98285</v>
      </c>
      <c r="D55" s="27">
        <v>7225</v>
      </c>
      <c r="E55" s="27">
        <v>1466</v>
      </c>
      <c r="F55" s="27">
        <v>3672</v>
      </c>
      <c r="G55" s="27">
        <f t="shared" ref="G55:G71" si="0">SUM(C55:F55)</f>
        <v>110648</v>
      </c>
    </row>
    <row r="56" spans="2:9" x14ac:dyDescent="0.25">
      <c r="B56" s="14" t="s">
        <v>47</v>
      </c>
      <c r="C56" s="27">
        <v>82496.092579000004</v>
      </c>
      <c r="D56" s="27">
        <v>10844.092941000299</v>
      </c>
      <c r="E56" s="27">
        <v>2364.8815460000001</v>
      </c>
      <c r="F56" s="27">
        <v>5694</v>
      </c>
      <c r="G56" s="27">
        <f t="shared" si="0"/>
        <v>101399.06706600031</v>
      </c>
    </row>
    <row r="57" spans="2:9" x14ac:dyDescent="0.25">
      <c r="B57" s="14" t="s">
        <v>48</v>
      </c>
      <c r="C57" s="27">
        <v>14.708022587373501</v>
      </c>
      <c r="D57" s="27">
        <v>36</v>
      </c>
      <c r="E57" s="27">
        <v>20.922919508867668</v>
      </c>
      <c r="F57" s="27">
        <v>21</v>
      </c>
      <c r="G57" s="27">
        <f>AVERAGE(C57:F57)</f>
        <v>23.157735524060293</v>
      </c>
    </row>
    <row r="58" spans="2:9" x14ac:dyDescent="0.25">
      <c r="B58" s="14" t="s">
        <v>49</v>
      </c>
      <c r="C58" s="27">
        <v>938231</v>
      </c>
      <c r="D58" s="27">
        <v>160875</v>
      </c>
      <c r="E58" s="27">
        <v>53839</v>
      </c>
      <c r="F58" s="27">
        <v>85560</v>
      </c>
      <c r="G58" s="27">
        <f t="shared" si="0"/>
        <v>1238505</v>
      </c>
    </row>
    <row r="59" spans="2:9" x14ac:dyDescent="0.25">
      <c r="B59" s="14" t="s">
        <v>50</v>
      </c>
      <c r="C59" s="27">
        <v>2043669.3137079999</v>
      </c>
      <c r="D59" s="27">
        <v>298433.610865</v>
      </c>
      <c r="E59" s="27">
        <v>111476.093318</v>
      </c>
      <c r="F59" s="27">
        <v>203964</v>
      </c>
      <c r="G59" s="11">
        <f t="shared" si="0"/>
        <v>2657543.017891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4848</v>
      </c>
      <c r="D67" s="27">
        <v>2068</v>
      </c>
      <c r="E67" s="27">
        <v>2145</v>
      </c>
      <c r="F67" s="27">
        <v>7619</v>
      </c>
      <c r="G67" s="27">
        <f t="shared" si="0"/>
        <v>16680</v>
      </c>
    </row>
    <row r="68" spans="2:8" x14ac:dyDescent="0.25">
      <c r="B68" s="14" t="s">
        <v>47</v>
      </c>
      <c r="C68" s="27">
        <v>4382.5636430000004</v>
      </c>
      <c r="D68" s="27">
        <v>2229.7734880000098</v>
      </c>
      <c r="E68" s="27">
        <v>2928.8318140000001</v>
      </c>
      <c r="F68" s="27">
        <v>6765</v>
      </c>
      <c r="G68" s="27">
        <f t="shared" si="0"/>
        <v>16306.16894500001</v>
      </c>
    </row>
    <row r="69" spans="2:8" x14ac:dyDescent="0.25">
      <c r="B69" s="14" t="s">
        <v>48</v>
      </c>
      <c r="C69" s="27">
        <v>32.428630363036298</v>
      </c>
      <c r="D69" s="27">
        <v>54</v>
      </c>
      <c r="E69" s="27">
        <v>51.406060606060606</v>
      </c>
      <c r="F69" s="27">
        <v>39</v>
      </c>
      <c r="G69" s="27">
        <f>AVERAGE(C69:F69)</f>
        <v>44.208672742274224</v>
      </c>
    </row>
    <row r="70" spans="2:8" x14ac:dyDescent="0.25">
      <c r="B70" s="14" t="s">
        <v>49</v>
      </c>
      <c r="C70" s="27">
        <v>141333</v>
      </c>
      <c r="D70" s="27">
        <v>92843</v>
      </c>
      <c r="E70" s="27">
        <v>77532</v>
      </c>
      <c r="F70" s="27">
        <v>286562</v>
      </c>
      <c r="G70" s="27">
        <f t="shared" si="0"/>
        <v>598270</v>
      </c>
    </row>
    <row r="71" spans="2:8" x14ac:dyDescent="0.25">
      <c r="B71" s="14" t="s">
        <v>50</v>
      </c>
      <c r="C71" s="27">
        <v>153969.207891</v>
      </c>
      <c r="D71" s="27">
        <v>112735.854049</v>
      </c>
      <c r="E71" s="27">
        <v>86250.874049999999</v>
      </c>
      <c r="F71" s="27">
        <v>278065</v>
      </c>
      <c r="G71" s="11">
        <f t="shared" si="0"/>
        <v>631020.93598999991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103133</v>
      </c>
      <c r="D73" s="19">
        <f>+D67+D61+D55</f>
        <v>9293</v>
      </c>
      <c r="E73" s="19">
        <v>3611</v>
      </c>
      <c r="F73" s="19">
        <f t="shared" ref="F73:F74" si="1">+F55+F67</f>
        <v>11291</v>
      </c>
      <c r="G73" s="19">
        <f>SUM(C73:F73)</f>
        <v>127328</v>
      </c>
    </row>
    <row r="74" spans="2:8" x14ac:dyDescent="0.25">
      <c r="B74" s="18" t="s">
        <v>47</v>
      </c>
      <c r="C74" s="19">
        <f>+C56+C68</f>
        <v>86878.656222000005</v>
      </c>
      <c r="D74" s="19">
        <f>+D68+D62+D56</f>
        <v>13073.866429000309</v>
      </c>
      <c r="E74" s="19">
        <v>5293.7133599999997</v>
      </c>
      <c r="F74" s="19">
        <f t="shared" si="1"/>
        <v>12459</v>
      </c>
      <c r="G74" s="22">
        <f>SUM(C74:F74)</f>
        <v>117705.23601100031</v>
      </c>
    </row>
    <row r="75" spans="2:8" x14ac:dyDescent="0.25">
      <c r="B75" s="18" t="s">
        <v>48</v>
      </c>
      <c r="C75" s="19">
        <v>15.5410198481572</v>
      </c>
      <c r="D75" s="19">
        <f>(+D57+D63+D69)/3</f>
        <v>30</v>
      </c>
      <c r="E75" s="19">
        <v>39.030462475768488</v>
      </c>
      <c r="F75" s="19">
        <f>(F57+F69)/2</f>
        <v>30</v>
      </c>
      <c r="G75" s="19">
        <f>AVERAGE(C75:F75)</f>
        <v>28.642870580981423</v>
      </c>
    </row>
    <row r="76" spans="2:8" x14ac:dyDescent="0.25">
      <c r="B76" s="18" t="s">
        <v>49</v>
      </c>
      <c r="C76" s="19">
        <f>+C58+C70</f>
        <v>1079564</v>
      </c>
      <c r="D76" s="19">
        <f t="shared" ref="D76" si="2">+D70+D64+D58</f>
        <v>253718</v>
      </c>
      <c r="E76" s="19">
        <v>131371</v>
      </c>
      <c r="F76" s="19">
        <f t="shared" ref="F76:F77" si="3">+F58+F70</f>
        <v>372122</v>
      </c>
      <c r="G76" s="19">
        <f>SUM(C76:F76)</f>
        <v>1836775</v>
      </c>
    </row>
    <row r="77" spans="2:8" x14ac:dyDescent="0.25">
      <c r="B77" s="18" t="s">
        <v>50</v>
      </c>
      <c r="C77" s="19">
        <f>+C59+C71</f>
        <v>2197638.5215989999</v>
      </c>
      <c r="D77" s="19">
        <f>+D71+D65+D59</f>
        <v>411169.46491400001</v>
      </c>
      <c r="E77" s="19">
        <v>197726.96736800001</v>
      </c>
      <c r="F77" s="19">
        <f t="shared" si="3"/>
        <v>482029</v>
      </c>
      <c r="G77" s="22">
        <f>SUM(C77:F77)</f>
        <v>3288563.9538810002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20866.85338</v>
      </c>
      <c r="D85" s="24">
        <v>1405</v>
      </c>
      <c r="E85" s="24">
        <v>62</v>
      </c>
      <c r="F85" s="24">
        <v>1664.260047</v>
      </c>
      <c r="G85" s="11">
        <f>SUM(C85:F85)</f>
        <v>23998.113427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168.98917599999999</v>
      </c>
      <c r="D97" s="24">
        <v>0</v>
      </c>
      <c r="E97" s="24">
        <v>0</v>
      </c>
      <c r="F97" s="24">
        <v>75.182525999999996</v>
      </c>
      <c r="G97" s="11">
        <f>SUM(C97:F97)</f>
        <v>244.17170199999998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21035.842556</v>
      </c>
      <c r="D103" s="19">
        <f t="shared" si="4"/>
        <v>1405</v>
      </c>
      <c r="E103" s="19">
        <f>+E85</f>
        <v>62</v>
      </c>
      <c r="F103" s="19">
        <f>+F85+F97</f>
        <v>1739.442573</v>
      </c>
      <c r="G103" s="22">
        <f>SUM(C103:F103)</f>
        <v>24242.285129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2.8154942013898476</v>
      </c>
      <c r="D107" s="13">
        <v>2.5499999999999998</v>
      </c>
      <c r="E107" s="61">
        <v>2.8523076923076922</v>
      </c>
      <c r="F107" s="13">
        <v>2.54</v>
      </c>
      <c r="G107" s="13">
        <f>AVERAGE(C107:F107)</f>
        <v>2.6894504734243849</v>
      </c>
    </row>
    <row r="108" spans="2:8" x14ac:dyDescent="0.25">
      <c r="B108" s="14" t="s">
        <v>60</v>
      </c>
      <c r="C108" s="13">
        <v>2.2919528515543481</v>
      </c>
      <c r="D108" s="13">
        <v>2.59</v>
      </c>
      <c r="E108" s="61">
        <v>2.6432165605095541</v>
      </c>
      <c r="F108" s="13">
        <v>2.58</v>
      </c>
      <c r="G108" s="13">
        <f>AVERAGE(C108:F108)</f>
        <v>2.5262923530159753</v>
      </c>
    </row>
    <row r="109" spans="2:8" x14ac:dyDescent="0.25">
      <c r="B109" s="14" t="s">
        <v>61</v>
      </c>
      <c r="C109" s="13">
        <v>2.1747763295095357</v>
      </c>
      <c r="D109" s="13">
        <v>2.59</v>
      </c>
      <c r="E109" s="61">
        <v>2.603545150501672</v>
      </c>
      <c r="F109" s="13">
        <v>2.58</v>
      </c>
      <c r="G109" s="13">
        <f>AVERAGE(C109:F109)</f>
        <v>2.4870803700028019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2</v>
      </c>
      <c r="D111" s="13">
        <v>1.95</v>
      </c>
      <c r="E111" s="13">
        <v>1.95</v>
      </c>
      <c r="F111" s="13">
        <v>1.8</v>
      </c>
      <c r="G111" s="13">
        <f>AVERAGE(C111:F111)</f>
        <v>1.925</v>
      </c>
    </row>
    <row r="112" spans="2:8" x14ac:dyDescent="0.25">
      <c r="B112" s="14" t="s">
        <v>60</v>
      </c>
      <c r="C112" s="13">
        <v>1.990178571428574</v>
      </c>
      <c r="D112" s="13">
        <v>2.13</v>
      </c>
      <c r="E112" s="13">
        <v>2.12</v>
      </c>
      <c r="F112" s="13">
        <v>2.12</v>
      </c>
      <c r="G112" s="13">
        <f>AVERAGE(C112:F112)</f>
        <v>2.0900446428571433</v>
      </c>
    </row>
    <row r="113" spans="2:9" x14ac:dyDescent="0.25">
      <c r="B113" s="14" t="s">
        <v>61</v>
      </c>
      <c r="C113" s="13">
        <v>1.8802219531880842</v>
      </c>
      <c r="D113" s="13">
        <v>2.13</v>
      </c>
      <c r="E113" s="13">
        <v>2.118740740740741</v>
      </c>
      <c r="F113" s="13">
        <v>2.12</v>
      </c>
      <c r="G113" s="13">
        <f>AVERAGE(C113:F113)</f>
        <v>2.0622406734822061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1.4637725118483609</v>
      </c>
      <c r="D116" s="13">
        <v>1.79</v>
      </c>
      <c r="E116" s="13">
        <v>1.7886821705426357</v>
      </c>
      <c r="F116" s="13">
        <v>1.78</v>
      </c>
      <c r="G116" s="13">
        <f>AVERAGE(C116:F116)</f>
        <v>1.7056136705977492</v>
      </c>
    </row>
    <row r="117" spans="2:9" x14ac:dyDescent="0.25">
      <c r="B117" s="14" t="s">
        <v>60</v>
      </c>
      <c r="C117" s="13">
        <v>1.756734469488799</v>
      </c>
      <c r="D117" s="13">
        <v>1.79</v>
      </c>
      <c r="E117" s="13">
        <v>1.7876428571428571</v>
      </c>
      <c r="F117" s="13">
        <v>1.78</v>
      </c>
      <c r="G117" s="13">
        <f>AVERAGE(C117:F117)</f>
        <v>1.778594331657914</v>
      </c>
    </row>
    <row r="118" spans="2:9" x14ac:dyDescent="0.25">
      <c r="B118" s="14" t="s">
        <v>61</v>
      </c>
      <c r="C118" s="13">
        <v>1.6989757856775047</v>
      </c>
      <c r="D118" s="13">
        <v>1.74</v>
      </c>
      <c r="E118" s="13">
        <v>1.7537243243243241</v>
      </c>
      <c r="F118" s="13">
        <v>1.74</v>
      </c>
      <c r="G118" s="13">
        <f>AVERAGE(C118:F118)</f>
        <v>1.7331750275004572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1.5773033707865167</v>
      </c>
      <c r="F122" s="13">
        <v>1.43</v>
      </c>
      <c r="G122" s="13">
        <f>AVERAGE(C122:F122)</f>
        <v>1.466825842696629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37">
        <v>2.0099999999999998</v>
      </c>
      <c r="D127" s="37">
        <v>2.1212029999999999</v>
      </c>
      <c r="E127" s="61">
        <v>2.2444554963931416</v>
      </c>
      <c r="F127" s="11">
        <v>0</v>
      </c>
      <c r="G127" s="11">
        <f>AVERAGE(C127:E127)</f>
        <v>2.1252194987977138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242189</v>
      </c>
      <c r="D130" s="27">
        <v>3447</v>
      </c>
      <c r="E130" s="27">
        <v>6108</v>
      </c>
      <c r="F130" s="27">
        <v>763</v>
      </c>
      <c r="G130" s="27">
        <f>SUM(C130:F130)</f>
        <v>252507</v>
      </c>
    </row>
    <row r="131" spans="2:9" x14ac:dyDescent="0.25">
      <c r="B131" s="14" t="s">
        <v>71</v>
      </c>
      <c r="C131" s="27">
        <v>157770.16698400001</v>
      </c>
      <c r="D131" s="27">
        <v>3840</v>
      </c>
      <c r="E131" s="27">
        <v>981656</v>
      </c>
      <c r="F131" s="27">
        <v>766.92422599999998</v>
      </c>
      <c r="G131" s="11">
        <f>SUM(C131:F131)</f>
        <v>1144033.09121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842210</v>
      </c>
      <c r="D134" s="27">
        <v>407919</v>
      </c>
      <c r="E134" s="27">
        <v>154129</v>
      </c>
      <c r="F134" s="27">
        <v>374450</v>
      </c>
      <c r="G134" s="27">
        <f>SUM(C134:F134)</f>
        <v>1778708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14997</v>
      </c>
      <c r="G138" s="27">
        <f>SUM(C138:F138)</f>
        <v>14997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138</v>
      </c>
      <c r="G139" s="27">
        <f>SUM(C139:F139)</f>
        <v>138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986</v>
      </c>
      <c r="E146" s="27">
        <v>0</v>
      </c>
      <c r="F146" s="24">
        <v>354</v>
      </c>
      <c r="G146" s="27">
        <f>SUM(C146:F146)</f>
        <v>1340</v>
      </c>
    </row>
    <row r="147" spans="2:8" x14ac:dyDescent="0.25">
      <c r="B147" s="14" t="s">
        <v>82</v>
      </c>
      <c r="C147" s="27">
        <v>0</v>
      </c>
      <c r="D147" s="27">
        <v>21.8399</v>
      </c>
      <c r="E147" s="27">
        <v>0</v>
      </c>
      <c r="F147" s="24">
        <v>4.2925000000000004</v>
      </c>
      <c r="G147" s="11">
        <f>SUM(C147:F147)</f>
        <v>26.132400000000001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2.1999999999999999E-2</v>
      </c>
      <c r="E151" s="27">
        <v>0</v>
      </c>
      <c r="F151" s="27">
        <v>0</v>
      </c>
      <c r="G151" s="11">
        <f>SUM(C151:F151)</f>
        <v>2.1999999999999999E-2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14">
        <v>0</v>
      </c>
      <c r="D154" s="27">
        <v>66</v>
      </c>
      <c r="E154" s="27">
        <v>2</v>
      </c>
      <c r="F154" s="27">
        <v>0</v>
      </c>
      <c r="G154" s="27">
        <f>SUM(C154:F154)</f>
        <v>68</v>
      </c>
      <c r="H154"/>
    </row>
    <row r="155" spans="2:8" x14ac:dyDescent="0.25">
      <c r="B155" s="14" t="s">
        <v>88</v>
      </c>
      <c r="C155" s="11">
        <v>0</v>
      </c>
      <c r="D155" s="27">
        <v>1.46</v>
      </c>
      <c r="E155" s="27">
        <v>0.09</v>
      </c>
      <c r="F155" s="27">
        <v>0</v>
      </c>
      <c r="G155" s="11">
        <f>SUM(C155:F155)</f>
        <v>1.55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1052</v>
      </c>
      <c r="E158" s="19">
        <v>2</v>
      </c>
      <c r="F158" s="19">
        <f t="shared" ref="F158:F159" si="5">+F146+F154</f>
        <v>354</v>
      </c>
      <c r="G158" s="19">
        <f>SUM(C158:F158)</f>
        <v>1408</v>
      </c>
    </row>
    <row r="159" spans="2:8" x14ac:dyDescent="0.25">
      <c r="B159" s="18" t="s">
        <v>91</v>
      </c>
      <c r="C159" s="19">
        <v>0</v>
      </c>
      <c r="D159" s="19">
        <f>D147+D151+D155</f>
        <v>23.321899999999999</v>
      </c>
      <c r="E159" s="19">
        <v>0.09</v>
      </c>
      <c r="F159" s="19">
        <f t="shared" si="5"/>
        <v>4.2925000000000004</v>
      </c>
      <c r="G159" s="22">
        <f>SUM(C159:F159)</f>
        <v>27.7044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2790</v>
      </c>
      <c r="D162" s="27">
        <v>7522</v>
      </c>
      <c r="E162" s="27">
        <v>6448</v>
      </c>
      <c r="F162" s="27">
        <v>29159</v>
      </c>
      <c r="G162" s="27">
        <f>SUM(C162:F162)</f>
        <v>45919</v>
      </c>
    </row>
    <row r="163" spans="2:8" x14ac:dyDescent="0.25">
      <c r="B163" s="14" t="s">
        <v>88</v>
      </c>
      <c r="C163" s="27">
        <f>65884506/1000000</f>
        <v>65.884506000000002</v>
      </c>
      <c r="D163" s="27">
        <v>36.010964000000001</v>
      </c>
      <c r="E163" s="27">
        <v>112.493146</v>
      </c>
      <c r="F163" s="27">
        <v>178.45978700000001</v>
      </c>
      <c r="G163" s="11">
        <f>SUM(C163:F163)</f>
        <v>392.84840300000002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1057</v>
      </c>
      <c r="D167" s="27">
        <v>2545</v>
      </c>
      <c r="E167" s="27">
        <v>104</v>
      </c>
      <c r="F167" s="27">
        <v>629</v>
      </c>
      <c r="G167" s="27">
        <f>SUM(C167:F167)</f>
        <v>4335</v>
      </c>
    </row>
    <row r="168" spans="2:8" x14ac:dyDescent="0.25">
      <c r="B168" s="14" t="s">
        <v>96</v>
      </c>
      <c r="C168" s="27">
        <f>36995000/1000000</f>
        <v>36.994999999999997</v>
      </c>
      <c r="D168" s="27">
        <v>54.5</v>
      </c>
      <c r="E168" s="27">
        <v>3.7</v>
      </c>
      <c r="F168" s="27">
        <v>23.96</v>
      </c>
      <c r="G168" s="11">
        <f>SUM(C168:F168)</f>
        <v>119.155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1794</v>
      </c>
      <c r="D171" s="27">
        <v>355</v>
      </c>
      <c r="E171" s="27">
        <v>73</v>
      </c>
      <c r="F171" s="27">
        <v>363</v>
      </c>
      <c r="G171" s="27">
        <f>SUM(C171:F171)</f>
        <v>2585</v>
      </c>
    </row>
    <row r="172" spans="2:8" x14ac:dyDescent="0.25">
      <c r="B172" s="14" t="s">
        <v>96</v>
      </c>
      <c r="C172" s="27">
        <f>62790000/1000000</f>
        <v>62.79</v>
      </c>
      <c r="D172" s="27">
        <v>7.4550000000000001</v>
      </c>
      <c r="E172" s="27">
        <v>1.8</v>
      </c>
      <c r="F172" s="27">
        <v>9.0589999999999993</v>
      </c>
      <c r="G172" s="11">
        <f>SUM(C172:F172)</f>
        <v>81.103999999999999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265</v>
      </c>
      <c r="D175" s="27">
        <v>324</v>
      </c>
      <c r="E175" s="27">
        <v>183</v>
      </c>
      <c r="F175" s="27">
        <v>38</v>
      </c>
      <c r="G175" s="27">
        <f>SUM(C175:F175)</f>
        <v>810</v>
      </c>
    </row>
    <row r="176" spans="2:8" x14ac:dyDescent="0.25">
      <c r="B176" s="14" t="s">
        <v>96</v>
      </c>
      <c r="C176" s="27">
        <f>27940000/1000000</f>
        <v>27.94</v>
      </c>
      <c r="D176" s="27">
        <v>34.159999999999997</v>
      </c>
      <c r="E176" s="27">
        <v>9.86</v>
      </c>
      <c r="F176" s="27">
        <v>3.95</v>
      </c>
      <c r="G176" s="11">
        <f>SUM(C176:F176)</f>
        <v>75.91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423</v>
      </c>
      <c r="D179" s="27">
        <v>56</v>
      </c>
      <c r="E179" s="27">
        <v>0</v>
      </c>
      <c r="F179" s="27">
        <v>0</v>
      </c>
      <c r="G179" s="27">
        <f>SUM(C179:F179)</f>
        <v>479</v>
      </c>
    </row>
    <row r="180" spans="2:8" x14ac:dyDescent="0.25">
      <c r="B180" s="14" t="s">
        <v>96</v>
      </c>
      <c r="C180" s="27">
        <f>17215000/1000000</f>
        <v>17.215</v>
      </c>
      <c r="D180" s="27">
        <v>5.4008000000000003</v>
      </c>
      <c r="E180" s="27">
        <v>0</v>
      </c>
      <c r="F180" s="27">
        <v>0</v>
      </c>
      <c r="G180" s="11">
        <f>SUM(C180:F180)</f>
        <v>22.6158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3539</v>
      </c>
      <c r="D183" s="19">
        <f>D167+D171+D175+D179</f>
        <v>3280</v>
      </c>
      <c r="E183" s="19">
        <v>360</v>
      </c>
      <c r="F183" s="19">
        <f>+F179+F175+F171+F167</f>
        <v>1030</v>
      </c>
      <c r="G183" s="19">
        <f>SUM(C183:F183)</f>
        <v>8209</v>
      </c>
    </row>
    <row r="184" spans="2:8" x14ac:dyDescent="0.25">
      <c r="B184" s="18" t="s">
        <v>103</v>
      </c>
      <c r="C184" s="19">
        <f>+C180+C176+C172+C168</f>
        <v>144.94</v>
      </c>
      <c r="D184" s="19">
        <f>D168+D172+D176+D180</f>
        <v>101.5158</v>
      </c>
      <c r="E184" s="19">
        <v>15.36</v>
      </c>
      <c r="F184" s="19">
        <f>+F180+F176+F172+F168</f>
        <v>36.969000000000001</v>
      </c>
      <c r="G184" s="22">
        <f>SUM(C184:F184)</f>
        <v>298.78480000000002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1971</v>
      </c>
      <c r="D187" s="27">
        <v>0</v>
      </c>
      <c r="E187" s="27">
        <v>92</v>
      </c>
      <c r="F187" s="27">
        <v>30543</v>
      </c>
      <c r="G187" s="27">
        <f>SUM(C187:F187)</f>
        <v>32606</v>
      </c>
    </row>
    <row r="188" spans="2:8" x14ac:dyDescent="0.25">
      <c r="B188" s="14" t="s">
        <v>106</v>
      </c>
      <c r="C188" s="27">
        <f>17881182/1000000</f>
        <v>17.881181999999999</v>
      </c>
      <c r="D188" s="27">
        <v>0</v>
      </c>
      <c r="E188" s="27">
        <v>3.65</v>
      </c>
      <c r="F188" s="27">
        <v>219.72128699999999</v>
      </c>
      <c r="G188" s="11">
        <f>SUM(C188:F188)</f>
        <v>241.25246899999999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8300</v>
      </c>
      <c r="D191" s="44">
        <v>11852</v>
      </c>
      <c r="E191" s="19">
        <v>6900</v>
      </c>
      <c r="F191" s="19">
        <f>F158+F162+F183+F187</f>
        <v>61086</v>
      </c>
      <c r="G191" s="19">
        <f>SUM(C191:F191)</f>
        <v>88138</v>
      </c>
    </row>
    <row r="192" spans="2:8" x14ac:dyDescent="0.25">
      <c r="B192" s="18" t="s">
        <v>109</v>
      </c>
      <c r="C192" s="19">
        <f>C188+C163+C184</f>
        <v>228.70568800000001</v>
      </c>
      <c r="D192" s="44">
        <v>160.80666399999998</v>
      </c>
      <c r="E192" s="19">
        <v>131.50314599999999</v>
      </c>
      <c r="F192" s="19">
        <f>F159+F184+F163+F188</f>
        <v>439.44257400000004</v>
      </c>
      <c r="G192" s="22">
        <f>SUM(C192:F192)</f>
        <v>960.45807200000002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62">
        <v>54975</v>
      </c>
      <c r="D6" s="62">
        <v>8171</v>
      </c>
      <c r="E6" s="62">
        <v>7935</v>
      </c>
      <c r="F6" s="62">
        <v>9627</v>
      </c>
      <c r="G6" s="12">
        <f>+F6+E6+D6+C6</f>
        <v>80708</v>
      </c>
    </row>
    <row r="7" spans="1:7" x14ac:dyDescent="0.25">
      <c r="B7" s="14" t="s">
        <v>10</v>
      </c>
      <c r="C7" s="62">
        <v>555</v>
      </c>
      <c r="D7" s="62">
        <v>265</v>
      </c>
      <c r="E7" s="62">
        <v>24</v>
      </c>
      <c r="F7" s="24">
        <v>140</v>
      </c>
      <c r="G7" s="12">
        <f>+F7+E7+D7+C7</f>
        <v>984</v>
      </c>
    </row>
    <row r="8" spans="1:7" x14ac:dyDescent="0.25">
      <c r="B8" s="18" t="s">
        <v>11</v>
      </c>
      <c r="C8" s="25">
        <f>SUM(C6:C7)</f>
        <v>55530</v>
      </c>
      <c r="D8" s="25">
        <f>+D6+D7</f>
        <v>8436</v>
      </c>
      <c r="E8" s="25">
        <v>7959</v>
      </c>
      <c r="F8" s="25">
        <v>9767</v>
      </c>
      <c r="G8" s="25">
        <f>+F8+E8+D8+C8</f>
        <v>81692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767143</v>
      </c>
      <c r="D12" s="17">
        <v>95531</v>
      </c>
      <c r="E12" s="17">
        <v>39110</v>
      </c>
      <c r="F12" s="17">
        <v>0</v>
      </c>
      <c r="G12" s="17">
        <f>SUM(C12:F12)</f>
        <v>901784</v>
      </c>
    </row>
    <row r="13" spans="1:7" x14ac:dyDescent="0.25">
      <c r="B13" s="16" t="s">
        <v>15</v>
      </c>
      <c r="C13" s="17">
        <v>2726113</v>
      </c>
      <c r="D13" s="17">
        <v>563855</v>
      </c>
      <c r="E13" s="17">
        <v>233892</v>
      </c>
      <c r="F13" s="17">
        <v>0</v>
      </c>
      <c r="G13" s="17">
        <f>SUM(C13:F13)</f>
        <v>3523860</v>
      </c>
    </row>
    <row r="14" spans="1:7" x14ac:dyDescent="0.25">
      <c r="B14" s="18" t="s">
        <v>16</v>
      </c>
      <c r="C14" s="19">
        <f>C13+C12</f>
        <v>3493256</v>
      </c>
      <c r="D14" s="19">
        <v>958622</v>
      </c>
      <c r="E14" s="19">
        <v>273002</v>
      </c>
      <c r="F14" s="19">
        <v>347089</v>
      </c>
      <c r="G14" s="19">
        <f>SUM(C14:F14)</f>
        <v>5071969</v>
      </c>
    </row>
    <row r="15" spans="1:7" x14ac:dyDescent="0.25">
      <c r="B15" s="18" t="s">
        <v>17</v>
      </c>
      <c r="C15" s="19">
        <v>553231</v>
      </c>
      <c r="D15" s="19">
        <v>189982</v>
      </c>
      <c r="E15" s="19">
        <v>3426</v>
      </c>
      <c r="F15" s="19">
        <v>160630</v>
      </c>
      <c r="G15" s="19">
        <f>SUM(C15:F15)</f>
        <v>907269</v>
      </c>
    </row>
    <row r="16" spans="1:7" x14ac:dyDescent="0.25">
      <c r="B16" s="18" t="s">
        <v>18</v>
      </c>
      <c r="C16" s="19">
        <f>C15+C14</f>
        <v>4046487</v>
      </c>
      <c r="D16" s="19">
        <f>+D14+D15</f>
        <v>1148604</v>
      </c>
      <c r="E16" s="19">
        <v>276428</v>
      </c>
      <c r="F16" s="19">
        <v>507719</v>
      </c>
      <c r="G16" s="19">
        <f>SUM(C16:F16)</f>
        <v>5979238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3453</v>
      </c>
      <c r="D19" s="27">
        <v>4</v>
      </c>
      <c r="E19" s="27">
        <v>0</v>
      </c>
      <c r="F19" s="27">
        <v>0</v>
      </c>
      <c r="G19" s="27">
        <f>SUM(C19:F19)</f>
        <v>3457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4049940</v>
      </c>
      <c r="D21" s="19">
        <v>1148608</v>
      </c>
      <c r="E21" s="19">
        <v>276428</v>
      </c>
      <c r="F21" s="19">
        <f>F16</f>
        <v>507719</v>
      </c>
      <c r="G21" s="19">
        <f>SUM(C21:F21)</f>
        <v>5982695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405572</v>
      </c>
      <c r="D24" s="19">
        <v>212121</v>
      </c>
      <c r="E24" s="19">
        <v>159720</v>
      </c>
      <c r="F24" s="19">
        <v>689097</v>
      </c>
      <c r="G24" s="19">
        <f>SUM(C24:F24)</f>
        <v>1466510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4455512</v>
      </c>
      <c r="D27" s="19">
        <f>+D24+D21</f>
        <v>1360729</v>
      </c>
      <c r="E27" s="19">
        <f>+E21+E24</f>
        <v>436148</v>
      </c>
      <c r="F27" s="19">
        <f>+F24+F21</f>
        <v>1196816</v>
      </c>
      <c r="G27" s="19">
        <f>SUM(C27:F27)</f>
        <v>7449205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4">
        <v>981114</v>
      </c>
      <c r="D30" s="24">
        <v>121782</v>
      </c>
      <c r="E30" s="24">
        <v>69606</v>
      </c>
      <c r="F30" s="24">
        <v>177417</v>
      </c>
      <c r="G30" s="27">
        <f>SUM(C30:F30)</f>
        <v>1349919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4">
        <v>4466717764101</v>
      </c>
      <c r="D33" s="24">
        <v>683309203956</v>
      </c>
      <c r="E33" s="24">
        <v>278285861622</v>
      </c>
      <c r="F33" s="24">
        <v>498884027901</v>
      </c>
      <c r="G33" s="27">
        <f>SUM(C33:F33)</f>
        <v>5927196857580</v>
      </c>
    </row>
    <row r="34" spans="2:9" x14ac:dyDescent="0.25">
      <c r="B34" s="14" t="s">
        <v>30</v>
      </c>
      <c r="C34" s="24">
        <v>179715623822</v>
      </c>
      <c r="D34" s="24">
        <v>76313274261</v>
      </c>
      <c r="E34" s="24">
        <v>50140856100</v>
      </c>
      <c r="F34" s="24">
        <v>213665338935</v>
      </c>
      <c r="G34" s="27">
        <f>SUM(C34:F34)</f>
        <v>519835093118</v>
      </c>
    </row>
    <row r="35" spans="2:9" x14ac:dyDescent="0.25">
      <c r="B35" s="39" t="s">
        <v>31</v>
      </c>
      <c r="C35" s="40">
        <f>SUM(C33:C34)</f>
        <v>4646433387923</v>
      </c>
      <c r="D35" s="40">
        <f>+D34+D33</f>
        <v>759622478217</v>
      </c>
      <c r="E35" s="40">
        <v>328426717722</v>
      </c>
      <c r="F35" s="40">
        <v>712549366836</v>
      </c>
      <c r="G35" s="40">
        <f>SUM(C35:F35)</f>
        <v>6447031950698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720554</v>
      </c>
      <c r="D40" s="27">
        <v>109613</v>
      </c>
      <c r="E40" s="27">
        <v>44308</v>
      </c>
      <c r="F40" s="27">
        <v>58106</v>
      </c>
      <c r="G40" s="27">
        <f>SUM(C40:F40)</f>
        <v>932581</v>
      </c>
      <c r="H40" s="7"/>
      <c r="I40" s="7"/>
    </row>
    <row r="41" spans="2:9" x14ac:dyDescent="0.25">
      <c r="B41" s="14" t="s">
        <v>36</v>
      </c>
      <c r="C41" s="27">
        <f>4225092147/1000000</f>
        <v>4225.0921470000003</v>
      </c>
      <c r="D41" s="27">
        <v>1218.4980969999999</v>
      </c>
      <c r="E41" s="27">
        <v>473.7</v>
      </c>
      <c r="F41" s="27">
        <v>590.39513599999998</v>
      </c>
      <c r="G41" s="11">
        <f>SUM(C41:F41)</f>
        <v>6507.6853799999999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7</v>
      </c>
      <c r="D44" s="27">
        <v>6</v>
      </c>
      <c r="E44" s="27"/>
      <c r="F44" s="27">
        <v>0</v>
      </c>
      <c r="G44" s="27">
        <f>SUM(C44:F44)</f>
        <v>13</v>
      </c>
      <c r="H44" s="7"/>
      <c r="I44" s="7"/>
    </row>
    <row r="45" spans="2:9" x14ac:dyDescent="0.25">
      <c r="B45" s="14" t="s">
        <v>39</v>
      </c>
      <c r="C45" s="11">
        <f>5022648/1000000</f>
        <v>5.0226480000000002</v>
      </c>
      <c r="D45" s="11">
        <v>6.9360000000000005E-2</v>
      </c>
      <c r="E45" s="11"/>
      <c r="F45" s="11">
        <v>0</v>
      </c>
      <c r="G45" s="11">
        <f>SUM(C45:F45)</f>
        <v>5.0920079999999999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138320</v>
      </c>
      <c r="D48" s="27">
        <v>57796</v>
      </c>
      <c r="E48" s="27">
        <v>8658</v>
      </c>
      <c r="F48" s="27">
        <v>47154</v>
      </c>
      <c r="G48" s="27">
        <f>SUM(C48:F48)</f>
        <v>251928</v>
      </c>
      <c r="H48" s="7"/>
      <c r="I48" s="7"/>
    </row>
    <row r="49" spans="2:9" x14ac:dyDescent="0.25">
      <c r="B49" s="14" t="s">
        <v>42</v>
      </c>
      <c r="C49" s="27">
        <f>(85607055770+1201542666)/1000000</f>
        <v>86808.598436</v>
      </c>
      <c r="D49" s="27">
        <v>26430</v>
      </c>
      <c r="E49" s="27">
        <v>9891.1772890000011</v>
      </c>
      <c r="F49" s="27">
        <v>11138.501853</v>
      </c>
      <c r="G49" s="11">
        <f>SUM(C49:F49)</f>
        <v>134268.27757800001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92469</v>
      </c>
      <c r="D55" s="27">
        <v>5750</v>
      </c>
      <c r="E55" s="27">
        <v>1232</v>
      </c>
      <c r="F55" s="27">
        <v>2908</v>
      </c>
      <c r="G55" s="27">
        <f t="shared" ref="G55:G71" si="0">SUM(C55:F55)</f>
        <v>102359</v>
      </c>
    </row>
    <row r="56" spans="2:9" x14ac:dyDescent="0.25">
      <c r="B56" s="14" t="s">
        <v>47</v>
      </c>
      <c r="C56" s="27">
        <v>70731.079259000006</v>
      </c>
      <c r="D56" s="27">
        <v>8657.8889999999992</v>
      </c>
      <c r="E56" s="27">
        <v>1943.7203480000001</v>
      </c>
      <c r="F56" s="27">
        <v>4157</v>
      </c>
      <c r="G56" s="27">
        <f t="shared" si="0"/>
        <v>85489.688607000004</v>
      </c>
    </row>
    <row r="57" spans="2:9" x14ac:dyDescent="0.25">
      <c r="B57" s="14" t="s">
        <v>48</v>
      </c>
      <c r="C57" s="27">
        <v>13.732569834214701</v>
      </c>
      <c r="D57" s="27">
        <v>37</v>
      </c>
      <c r="E57" s="27">
        <v>19.92288961038961</v>
      </c>
      <c r="F57" s="27">
        <v>21</v>
      </c>
      <c r="G57" s="27">
        <f>AVERAGE(C57:F57)</f>
        <v>22.913864861151076</v>
      </c>
    </row>
    <row r="58" spans="2:9" x14ac:dyDescent="0.25">
      <c r="B58" s="14" t="s">
        <v>49</v>
      </c>
      <c r="C58" s="27">
        <v>945904</v>
      </c>
      <c r="D58" s="27">
        <v>160797</v>
      </c>
      <c r="E58" s="27">
        <v>53371</v>
      </c>
      <c r="F58" s="27">
        <v>84889</v>
      </c>
      <c r="G58" s="27">
        <f t="shared" si="0"/>
        <v>1244961</v>
      </c>
    </row>
    <row r="59" spans="2:9" x14ac:dyDescent="0.25">
      <c r="B59" s="14" t="s">
        <v>50</v>
      </c>
      <c r="C59" s="27">
        <v>2072716.4836619999</v>
      </c>
      <c r="D59" s="27">
        <v>301104.63597</v>
      </c>
      <c r="E59" s="27">
        <v>111742.66187700001</v>
      </c>
      <c r="F59" s="27">
        <v>204033</v>
      </c>
      <c r="G59" s="11">
        <f t="shared" si="0"/>
        <v>2689596.7815089999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4145</v>
      </c>
      <c r="D67" s="27">
        <v>1628</v>
      </c>
      <c r="E67" s="27">
        <v>1963</v>
      </c>
      <c r="F67" s="27">
        <v>6465</v>
      </c>
      <c r="G67" s="27">
        <f t="shared" si="0"/>
        <v>14201</v>
      </c>
    </row>
    <row r="68" spans="2:8" x14ac:dyDescent="0.25">
      <c r="B68" s="14" t="s">
        <v>47</v>
      </c>
      <c r="C68" s="27">
        <v>3861.7332449999999</v>
      </c>
      <c r="D68" s="27">
        <v>1685.7719999999999</v>
      </c>
      <c r="E68" s="27">
        <v>2549.8248250000001</v>
      </c>
      <c r="F68" s="27">
        <v>6000</v>
      </c>
      <c r="G68" s="27">
        <f t="shared" si="0"/>
        <v>14097.33007</v>
      </c>
    </row>
    <row r="69" spans="2:8" x14ac:dyDescent="0.25">
      <c r="B69" s="14" t="s">
        <v>48</v>
      </c>
      <c r="C69" s="27">
        <v>32.702533172496999</v>
      </c>
      <c r="D69" s="27">
        <v>54</v>
      </c>
      <c r="E69" s="27">
        <v>52.302088639836981</v>
      </c>
      <c r="F69" s="27">
        <v>39</v>
      </c>
      <c r="G69" s="27">
        <f>AVERAGE(C69:F69)</f>
        <v>44.501155453083499</v>
      </c>
    </row>
    <row r="70" spans="2:8" x14ac:dyDescent="0.25">
      <c r="B70" s="14" t="s">
        <v>49</v>
      </c>
      <c r="C70" s="27">
        <v>141943</v>
      </c>
      <c r="D70" s="27">
        <v>92256</v>
      </c>
      <c r="E70" s="27">
        <v>78508</v>
      </c>
      <c r="F70" s="27">
        <v>283028</v>
      </c>
      <c r="G70" s="27">
        <f t="shared" si="0"/>
        <v>595735</v>
      </c>
    </row>
    <row r="71" spans="2:8" x14ac:dyDescent="0.25">
      <c r="B71" s="14" t="s">
        <v>50</v>
      </c>
      <c r="C71" s="27">
        <v>155743.59062</v>
      </c>
      <c r="D71" s="27">
        <v>112958.286746</v>
      </c>
      <c r="E71" s="27">
        <v>88201.534524000002</v>
      </c>
      <c r="F71" s="27">
        <v>281019</v>
      </c>
      <c r="G71" s="11">
        <f t="shared" si="0"/>
        <v>637922.41188999999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96614</v>
      </c>
      <c r="D73" s="19">
        <f>+D67+D61+D55</f>
        <v>7378</v>
      </c>
      <c r="E73" s="19">
        <v>3195</v>
      </c>
      <c r="F73" s="19">
        <f t="shared" ref="F73:F74" si="1">+F55+F67</f>
        <v>9373</v>
      </c>
      <c r="G73" s="19">
        <f>SUM(C73:F73)</f>
        <v>116560</v>
      </c>
    </row>
    <row r="74" spans="2:8" x14ac:dyDescent="0.25">
      <c r="B74" s="18" t="s">
        <v>47</v>
      </c>
      <c r="C74" s="19">
        <f>+C56+C68</f>
        <v>74592.812504000001</v>
      </c>
      <c r="D74" s="19">
        <f>+D68+D62+D56</f>
        <v>10343.661</v>
      </c>
      <c r="E74" s="19">
        <v>4493.5451730000004</v>
      </c>
      <c r="F74" s="19">
        <f t="shared" si="1"/>
        <v>10157</v>
      </c>
      <c r="G74" s="22">
        <f>SUM(C74:F74)</f>
        <v>99587.018677</v>
      </c>
    </row>
    <row r="75" spans="2:8" x14ac:dyDescent="0.25">
      <c r="B75" s="18" t="s">
        <v>48</v>
      </c>
      <c r="C75" s="19">
        <v>14.546432194092001</v>
      </c>
      <c r="D75" s="19">
        <f>(+D57+D63+D69)/3</f>
        <v>30.333333333333332</v>
      </c>
      <c r="E75" s="19">
        <v>39.816588419405321</v>
      </c>
      <c r="F75" s="19">
        <f>(F57+F69)/2</f>
        <v>30</v>
      </c>
      <c r="G75" s="19">
        <f>AVERAGE(C75:F75)</f>
        <v>28.674088486707664</v>
      </c>
    </row>
    <row r="76" spans="2:8" x14ac:dyDescent="0.25">
      <c r="B76" s="18" t="s">
        <v>49</v>
      </c>
      <c r="C76" s="19">
        <f>+C58+C70</f>
        <v>1087847</v>
      </c>
      <c r="D76" s="19">
        <f t="shared" ref="D76" si="2">+D70+D64+D58</f>
        <v>253053</v>
      </c>
      <c r="E76" s="19">
        <v>131879</v>
      </c>
      <c r="F76" s="19">
        <f t="shared" ref="F76:F77" si="3">+F58+F70</f>
        <v>367917</v>
      </c>
      <c r="G76" s="19">
        <f>SUM(C76:F76)</f>
        <v>1840696</v>
      </c>
    </row>
    <row r="77" spans="2:8" x14ac:dyDescent="0.25">
      <c r="B77" s="18" t="s">
        <v>50</v>
      </c>
      <c r="C77" s="19">
        <f>+C59+C71</f>
        <v>2228460.0742819998</v>
      </c>
      <c r="D77" s="19">
        <f>+D71+D65+D59</f>
        <v>414062.922716</v>
      </c>
      <c r="E77" s="19">
        <v>199944.19640100002</v>
      </c>
      <c r="F77" s="19">
        <f t="shared" si="3"/>
        <v>485052</v>
      </c>
      <c r="G77" s="22">
        <f>SUM(C77:F77)</f>
        <v>3327519.193399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970</v>
      </c>
      <c r="D84" s="24">
        <v>109</v>
      </c>
      <c r="E84" s="24">
        <v>5</v>
      </c>
      <c r="F84" s="24">
        <v>90</v>
      </c>
      <c r="G84" s="24">
        <f>SUM(C84:F84)</f>
        <v>1174</v>
      </c>
    </row>
    <row r="85" spans="2:7" x14ac:dyDescent="0.25">
      <c r="B85" s="14" t="s">
        <v>50</v>
      </c>
      <c r="C85" s="24">
        <v>20898.825271000002</v>
      </c>
      <c r="D85" s="24">
        <v>1392</v>
      </c>
      <c r="E85" s="24">
        <v>62</v>
      </c>
      <c r="F85" s="24">
        <v>1668.1160580000001</v>
      </c>
      <c r="G85" s="11">
        <f>SUM(C85:F85)</f>
        <v>24020.941329000001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168.90886399999999</v>
      </c>
      <c r="D97" s="27">
        <v>0</v>
      </c>
      <c r="E97" s="27">
        <v>0</v>
      </c>
      <c r="F97" s="27">
        <v>75.045455000000004</v>
      </c>
      <c r="G97" s="11">
        <f>SUM(C97:F97)</f>
        <v>243.954319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980</v>
      </c>
      <c r="D102" s="19">
        <f t="shared" ref="D102:D103" si="4">+D96+D90+D84</f>
        <v>109</v>
      </c>
      <c r="E102" s="19">
        <f>+E84</f>
        <v>5</v>
      </c>
      <c r="F102" s="19">
        <f>+F96+F84</f>
        <v>96</v>
      </c>
      <c r="G102" s="19">
        <f>SUM(C102:F102)</f>
        <v>1190</v>
      </c>
    </row>
    <row r="103" spans="2:8" x14ac:dyDescent="0.25">
      <c r="B103" s="18" t="s">
        <v>50</v>
      </c>
      <c r="C103" s="19">
        <f>+C97+C85</f>
        <v>21067.734135000002</v>
      </c>
      <c r="D103" s="19">
        <f t="shared" si="4"/>
        <v>1392</v>
      </c>
      <c r="E103" s="19">
        <f>+E85</f>
        <v>62</v>
      </c>
      <c r="F103" s="19">
        <f>+F85+F97</f>
        <v>1743.161513</v>
      </c>
      <c r="G103" s="22">
        <f>SUM(C103:F103)</f>
        <v>24264.895648000002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2.822410337836716</v>
      </c>
      <c r="D107" s="13">
        <v>2.5499999999999998</v>
      </c>
      <c r="E107" s="63">
        <v>2.8305555555555553</v>
      </c>
      <c r="F107" s="13">
        <v>2.54</v>
      </c>
      <c r="G107" s="13">
        <f>AVERAGE(C107:F107)</f>
        <v>2.6857414733480676</v>
      </c>
    </row>
    <row r="108" spans="2:8" x14ac:dyDescent="0.25">
      <c r="B108" s="14" t="s">
        <v>60</v>
      </c>
      <c r="C108" s="13">
        <v>2.2814698646986402</v>
      </c>
      <c r="D108" s="13">
        <v>2.59</v>
      </c>
      <c r="E108" s="63">
        <v>2.6363973063973067</v>
      </c>
      <c r="F108" s="13">
        <v>2.58</v>
      </c>
      <c r="G108" s="13">
        <f>AVERAGE(C108:F108)</f>
        <v>2.5219667927739868</v>
      </c>
    </row>
    <row r="109" spans="2:8" x14ac:dyDescent="0.25">
      <c r="B109" s="14" t="s">
        <v>61</v>
      </c>
      <c r="C109" s="13">
        <v>2.176650596180246</v>
      </c>
      <c r="D109" s="13">
        <v>2.59</v>
      </c>
      <c r="E109" s="63">
        <v>2.6061052631578945</v>
      </c>
      <c r="F109" s="13">
        <v>2.58</v>
      </c>
      <c r="G109" s="13">
        <f>AVERAGE(C109:F109)</f>
        <v>2.488188964834535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1.9826923076923075</v>
      </c>
      <c r="D111" s="13">
        <v>1.95</v>
      </c>
      <c r="E111" s="63">
        <v>1.95</v>
      </c>
      <c r="F111" s="13">
        <v>1.8</v>
      </c>
      <c r="G111" s="13">
        <f>AVERAGE(C111:F111)</f>
        <v>1.9206730769230769</v>
      </c>
    </row>
    <row r="112" spans="2:8" x14ac:dyDescent="0.25">
      <c r="B112" s="14" t="s">
        <v>60</v>
      </c>
      <c r="C112" s="13">
        <v>1.8957142857142868</v>
      </c>
      <c r="D112" s="13">
        <v>2.13</v>
      </c>
      <c r="E112" s="63">
        <v>2.12</v>
      </c>
      <c r="F112" s="13">
        <v>2.12</v>
      </c>
      <c r="G112" s="13">
        <f>AVERAGE(C112:F112)</f>
        <v>2.0664285714285717</v>
      </c>
    </row>
    <row r="113" spans="2:9" x14ac:dyDescent="0.25">
      <c r="B113" s="14" t="s">
        <v>61</v>
      </c>
      <c r="C113" s="13">
        <v>1.8798477859778853</v>
      </c>
      <c r="D113" s="13">
        <v>2.13</v>
      </c>
      <c r="E113" s="63">
        <v>2.12</v>
      </c>
      <c r="F113" s="13">
        <v>2.12</v>
      </c>
      <c r="G113" s="13">
        <f>AVERAGE(C113:F113)</f>
        <v>2.0624619464944711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1.4594321408290816</v>
      </c>
      <c r="D116" s="13">
        <v>1.79</v>
      </c>
      <c r="E116" s="63">
        <v>1.7887128712871287</v>
      </c>
      <c r="F116" s="13">
        <v>1.78</v>
      </c>
      <c r="G116" s="13">
        <f>AVERAGE(C116:F116)</f>
        <v>1.7045362530290527</v>
      </c>
    </row>
    <row r="117" spans="2:9" x14ac:dyDescent="0.25">
      <c r="B117" s="14" t="s">
        <v>60</v>
      </c>
      <c r="C117" s="13">
        <v>1.7565238764045259</v>
      </c>
      <c r="D117" s="13">
        <v>1.79</v>
      </c>
      <c r="E117" s="63">
        <v>1.7881196581196581</v>
      </c>
      <c r="F117" s="13">
        <v>1.78</v>
      </c>
      <c r="G117" s="13">
        <f>AVERAGE(C117:F117)</f>
        <v>1.778660883631046</v>
      </c>
    </row>
    <row r="118" spans="2:9" x14ac:dyDescent="0.25">
      <c r="B118" s="14" t="s">
        <v>61</v>
      </c>
      <c r="C118" s="13">
        <v>1.7064637233714173</v>
      </c>
      <c r="D118" s="13">
        <v>1.74</v>
      </c>
      <c r="E118" s="63">
        <v>1.7569831029185869</v>
      </c>
      <c r="F118" s="13">
        <v>1.74</v>
      </c>
      <c r="G118" s="13">
        <f>AVERAGE(C118:F118)</f>
        <v>1.7358617065725013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6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63">
        <v>1.33</v>
      </c>
      <c r="F121" s="13">
        <v>1.43</v>
      </c>
      <c r="G121" s="13">
        <f>AVERAGE(C121:F121)</f>
        <v>1.3824999999999998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63">
        <v>1.58</v>
      </c>
      <c r="F122" s="13">
        <v>1.43</v>
      </c>
      <c r="G122" s="13">
        <f>AVERAGE(C122:F122)</f>
        <v>1.4674999999999998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37">
        <v>2.02</v>
      </c>
      <c r="D127" s="37">
        <v>2.1243110000000001</v>
      </c>
      <c r="E127" s="63">
        <v>2.2343776318013222</v>
      </c>
      <c r="F127" s="11">
        <v>0</v>
      </c>
      <c r="G127" s="11">
        <f>AVERAGE(C127:E127)</f>
        <v>2.1262295439337744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243649</v>
      </c>
      <c r="D130" s="27">
        <v>3447</v>
      </c>
      <c r="E130" s="27">
        <v>6106</v>
      </c>
      <c r="F130" s="27">
        <v>762</v>
      </c>
      <c r="G130" s="27">
        <f>SUM(C130:F130)</f>
        <v>253964</v>
      </c>
    </row>
    <row r="131" spans="2:9" x14ac:dyDescent="0.25">
      <c r="B131" s="14" t="s">
        <v>71</v>
      </c>
      <c r="C131" s="27">
        <v>157803.623815</v>
      </c>
      <c r="D131" s="27">
        <v>3765</v>
      </c>
      <c r="E131" s="27">
        <v>939085</v>
      </c>
      <c r="F131" s="27">
        <v>762.36281599999995</v>
      </c>
      <c r="G131" s="11">
        <f>SUM(C131:F131)</f>
        <v>1101415.9866309999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4">
        <v>843940</v>
      </c>
      <c r="D134" s="24">
        <v>407304</v>
      </c>
      <c r="E134" s="24">
        <v>156385</v>
      </c>
      <c r="F134" s="24">
        <v>373818</v>
      </c>
      <c r="G134" s="27">
        <f>SUM(C134:F134)</f>
        <v>1781447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14814</v>
      </c>
      <c r="G138" s="27">
        <f>SUM(C138:F138)</f>
        <v>14814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103</v>
      </c>
      <c r="G139" s="27">
        <f>SUM(C139:F139)</f>
        <v>103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2048</v>
      </c>
      <c r="E146" s="27">
        <v>0</v>
      </c>
      <c r="F146" s="27">
        <v>803</v>
      </c>
      <c r="G146" s="27">
        <f>SUM(C146:F146)</f>
        <v>2851</v>
      </c>
    </row>
    <row r="147" spans="2:8" x14ac:dyDescent="0.25">
      <c r="B147" s="14" t="s">
        <v>82</v>
      </c>
      <c r="C147" s="27">
        <v>0</v>
      </c>
      <c r="D147" s="27">
        <v>45.411999999999999</v>
      </c>
      <c r="E147" s="27">
        <v>0</v>
      </c>
      <c r="F147" s="27">
        <v>9.3704999999999998</v>
      </c>
      <c r="G147" s="11">
        <f>SUM(C147:F147)</f>
        <v>54.782499999999999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6.6000000000000003E-2</v>
      </c>
      <c r="E151" s="27">
        <v>0</v>
      </c>
      <c r="F151" s="27">
        <v>0</v>
      </c>
      <c r="G151" s="11">
        <f>SUM(C151:F151)</f>
        <v>6.6000000000000003E-2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46</v>
      </c>
      <c r="E154" s="27"/>
      <c r="F154" s="27">
        <v>0</v>
      </c>
      <c r="G154" s="27">
        <f>SUM(C154:F154)</f>
        <v>46</v>
      </c>
      <c r="H154"/>
    </row>
    <row r="155" spans="2:8" x14ac:dyDescent="0.25">
      <c r="B155" s="14" t="s">
        <v>88</v>
      </c>
      <c r="C155" s="27">
        <v>0</v>
      </c>
      <c r="D155" s="27">
        <v>1.02</v>
      </c>
      <c r="E155" s="27"/>
      <c r="F155" s="27">
        <v>0</v>
      </c>
      <c r="G155" s="11">
        <f>SUM(C155:F155)</f>
        <v>1.02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2094</v>
      </c>
      <c r="E158" s="19">
        <v>0</v>
      </c>
      <c r="F158" s="19">
        <f t="shared" ref="F158:F159" si="5">+F146+F154</f>
        <v>803</v>
      </c>
      <c r="G158" s="19">
        <f>SUM(C158:F158)</f>
        <v>2897</v>
      </c>
    </row>
    <row r="159" spans="2:8" x14ac:dyDescent="0.25">
      <c r="B159" s="18" t="s">
        <v>91</v>
      </c>
      <c r="C159" s="19">
        <v>0</v>
      </c>
      <c r="D159" s="19">
        <f>D147+D151+D155</f>
        <v>46.498000000000005</v>
      </c>
      <c r="E159" s="19">
        <v>0.09</v>
      </c>
      <c r="F159" s="19">
        <f t="shared" si="5"/>
        <v>9.3704999999999998</v>
      </c>
      <c r="G159" s="22">
        <f>SUM(C159:F159)</f>
        <v>55.958500000000008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2581</v>
      </c>
      <c r="D162" s="27">
        <v>7282</v>
      </c>
      <c r="E162" s="27">
        <v>5656</v>
      </c>
      <c r="F162" s="27">
        <v>26726</v>
      </c>
      <c r="G162" s="27">
        <f>SUM(C162:F162)</f>
        <v>42245</v>
      </c>
    </row>
    <row r="163" spans="2:8" x14ac:dyDescent="0.25">
      <c r="B163" s="14" t="s">
        <v>88</v>
      </c>
      <c r="C163" s="27">
        <f>59308724/1000000</f>
        <v>59.308723999999998</v>
      </c>
      <c r="D163" s="27">
        <v>34.380142999999997</v>
      </c>
      <c r="E163" s="27">
        <v>94.000158999999996</v>
      </c>
      <c r="F163" s="27">
        <v>163.53361000000001</v>
      </c>
      <c r="G163" s="11">
        <f>SUM(C163:F163)</f>
        <v>351.22263599999997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907</v>
      </c>
      <c r="D167" s="27">
        <v>3559</v>
      </c>
      <c r="E167" s="27">
        <v>114</v>
      </c>
      <c r="F167" s="27">
        <v>628</v>
      </c>
      <c r="G167" s="27">
        <f>SUM(C167:F167)</f>
        <v>5208</v>
      </c>
    </row>
    <row r="168" spans="2:8" x14ac:dyDescent="0.25">
      <c r="B168" s="14" t="s">
        <v>96</v>
      </c>
      <c r="C168" s="27">
        <f>31745000/1000000</f>
        <v>31.745000000000001</v>
      </c>
      <c r="D168" s="27">
        <v>75.69</v>
      </c>
      <c r="E168" s="27">
        <v>2.7</v>
      </c>
      <c r="F168" s="27">
        <v>23.05</v>
      </c>
      <c r="G168" s="11">
        <f>SUM(C168:F168)</f>
        <v>133.185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1575</v>
      </c>
      <c r="D171" s="27">
        <v>246</v>
      </c>
      <c r="E171" s="27">
        <v>75</v>
      </c>
      <c r="F171" s="27">
        <v>319</v>
      </c>
      <c r="G171" s="27">
        <f>SUM(C171:F171)</f>
        <v>2215</v>
      </c>
    </row>
    <row r="172" spans="2:8" x14ac:dyDescent="0.25">
      <c r="B172" s="14" t="s">
        <v>96</v>
      </c>
      <c r="C172" s="27">
        <f>55125000/1000000</f>
        <v>55.125</v>
      </c>
      <c r="D172" s="27">
        <v>5.1660000000000004</v>
      </c>
      <c r="E172" s="27">
        <v>1.9</v>
      </c>
      <c r="F172" s="27">
        <v>7.9569999999999999</v>
      </c>
      <c r="G172" s="11">
        <f>SUM(C172:F172)</f>
        <v>70.147999999999996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220</v>
      </c>
      <c r="D175" s="27">
        <v>284</v>
      </c>
      <c r="E175" s="27">
        <v>161</v>
      </c>
      <c r="F175" s="27">
        <v>33</v>
      </c>
      <c r="G175" s="27">
        <f>SUM(C175:F175)</f>
        <v>698</v>
      </c>
    </row>
    <row r="176" spans="2:8" x14ac:dyDescent="0.25">
      <c r="B176" s="14" t="s">
        <v>96</v>
      </c>
      <c r="C176" s="27">
        <f>22940000/1000000</f>
        <v>22.94</v>
      </c>
      <c r="D176" s="27">
        <v>29.76</v>
      </c>
      <c r="E176" s="27">
        <v>9.1</v>
      </c>
      <c r="F176" s="27">
        <v>3.5350000000000001</v>
      </c>
      <c r="G176" s="11">
        <f>SUM(C176:F176)</f>
        <v>65.335000000000008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392</v>
      </c>
      <c r="D179" s="27">
        <v>37</v>
      </c>
      <c r="E179" s="27">
        <v>0</v>
      </c>
      <c r="F179" s="27">
        <v>0</v>
      </c>
      <c r="G179" s="27">
        <f>SUM(C179:F179)</f>
        <v>429</v>
      </c>
    </row>
    <row r="180" spans="2:8" x14ac:dyDescent="0.25">
      <c r="B180" s="14" t="s">
        <v>96</v>
      </c>
      <c r="C180" s="27">
        <f>15840000/1000000</f>
        <v>15.84</v>
      </c>
      <c r="D180" s="27">
        <v>3.6122000000000001</v>
      </c>
      <c r="E180" s="27">
        <v>0</v>
      </c>
      <c r="F180" s="27">
        <v>0</v>
      </c>
      <c r="G180" s="11">
        <f>SUM(C180:F180)</f>
        <v>19.452200000000001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3094</v>
      </c>
      <c r="D183" s="19">
        <f>D167+D171+D175+D179</f>
        <v>4126</v>
      </c>
      <c r="E183" s="19">
        <v>350</v>
      </c>
      <c r="F183" s="19">
        <f>+F179+F175+F171+F167</f>
        <v>980</v>
      </c>
      <c r="G183" s="19">
        <f>SUM(C183:F183)</f>
        <v>8550</v>
      </c>
    </row>
    <row r="184" spans="2:8" x14ac:dyDescent="0.25">
      <c r="B184" s="18" t="s">
        <v>103</v>
      </c>
      <c r="C184" s="19">
        <f>+C180+C176+C172+C168</f>
        <v>125.65</v>
      </c>
      <c r="D184" s="19">
        <f>D168+D172+D176+D180</f>
        <v>114.2282</v>
      </c>
      <c r="E184" s="19">
        <v>13.7</v>
      </c>
      <c r="F184" s="19">
        <f>+F180+F176+F172+F168</f>
        <v>34.542000000000002</v>
      </c>
      <c r="G184" s="22">
        <f>SUM(C184:F184)</f>
        <v>288.12019999999995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2389</v>
      </c>
      <c r="D187" s="27">
        <v>0</v>
      </c>
      <c r="E187" s="27">
        <v>69</v>
      </c>
      <c r="F187" s="27">
        <v>28509</v>
      </c>
      <c r="G187" s="27">
        <f>SUM(C187:F187)</f>
        <v>30967</v>
      </c>
    </row>
    <row r="188" spans="2:8" x14ac:dyDescent="0.25">
      <c r="B188" s="14" t="s">
        <v>106</v>
      </c>
      <c r="C188" s="27">
        <f>19794511/1000000</f>
        <v>19.794511</v>
      </c>
      <c r="D188" s="27">
        <v>0</v>
      </c>
      <c r="E188" s="27">
        <v>2.69</v>
      </c>
      <c r="F188" s="27">
        <v>207.44611</v>
      </c>
      <c r="G188" s="11">
        <f>SUM(C188:F188)</f>
        <v>229.930621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8064</v>
      </c>
      <c r="D191" s="19">
        <f>+D187+D183+D162+D158</f>
        <v>13502</v>
      </c>
      <c r="E191" s="19">
        <v>6075</v>
      </c>
      <c r="F191" s="19">
        <f>F158+F162+F183+F187</f>
        <v>57018</v>
      </c>
      <c r="G191" s="19">
        <f>SUM(C191:F191)</f>
        <v>84659</v>
      </c>
    </row>
    <row r="192" spans="2:8" x14ac:dyDescent="0.25">
      <c r="B192" s="18" t="s">
        <v>109</v>
      </c>
      <c r="C192" s="19">
        <f>C188+C163+C184</f>
        <v>204.75323500000002</v>
      </c>
      <c r="D192" s="19">
        <f>+D188+D184+D163+D159</f>
        <v>195.10634299999998</v>
      </c>
      <c r="E192" s="19">
        <v>110.390159</v>
      </c>
      <c r="F192" s="19">
        <f>F159+F184+F163+F188</f>
        <v>414.89222000000001</v>
      </c>
      <c r="G192" s="22">
        <f>SUM(C192:F192)</f>
        <v>925.14195700000005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55017</v>
      </c>
      <c r="D6" s="12">
        <v>8161</v>
      </c>
      <c r="E6" s="12">
        <v>7908</v>
      </c>
      <c r="F6" s="12">
        <v>9582</v>
      </c>
      <c r="G6" s="12">
        <f>+F6+E6+D6+C6</f>
        <v>80668</v>
      </c>
    </row>
    <row r="7" spans="1:7" x14ac:dyDescent="0.25">
      <c r="B7" s="14" t="s">
        <v>10</v>
      </c>
      <c r="C7" s="12">
        <v>556</v>
      </c>
      <c r="D7" s="12">
        <v>268</v>
      </c>
      <c r="E7" s="12">
        <v>24</v>
      </c>
      <c r="F7" s="12">
        <v>140</v>
      </c>
      <c r="G7" s="12">
        <f>+F7+E7+D7+C7</f>
        <v>988</v>
      </c>
    </row>
    <row r="8" spans="1:7" x14ac:dyDescent="0.25">
      <c r="B8" s="18" t="s">
        <v>11</v>
      </c>
      <c r="C8" s="25">
        <f>SUM(C6:C7)</f>
        <v>55573</v>
      </c>
      <c r="D8" s="25">
        <f>+D6+D7</f>
        <v>8429</v>
      </c>
      <c r="E8" s="25">
        <v>7932</v>
      </c>
      <c r="F8" s="25">
        <v>9722</v>
      </c>
      <c r="G8" s="25">
        <f>+F8+E8+D8+C8</f>
        <v>81656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757008</v>
      </c>
      <c r="D12" s="17">
        <v>95056</v>
      </c>
      <c r="E12" s="17">
        <v>38617</v>
      </c>
      <c r="F12" s="17">
        <v>0</v>
      </c>
      <c r="G12" s="17">
        <f>SUM(C12:F12)</f>
        <v>890681</v>
      </c>
    </row>
    <row r="13" spans="1:7" x14ac:dyDescent="0.25">
      <c r="B13" s="16" t="s">
        <v>15</v>
      </c>
      <c r="C13" s="17">
        <v>2730630</v>
      </c>
      <c r="D13" s="17">
        <v>565072</v>
      </c>
      <c r="E13" s="17">
        <v>234884</v>
      </c>
      <c r="F13" s="17">
        <v>0</v>
      </c>
      <c r="G13" s="17">
        <f>SUM(C13:F13)</f>
        <v>3530586</v>
      </c>
    </row>
    <row r="14" spans="1:7" x14ac:dyDescent="0.25">
      <c r="B14" s="18" t="s">
        <v>16</v>
      </c>
      <c r="C14" s="19">
        <f>C13+C12</f>
        <v>3487638</v>
      </c>
      <c r="D14" s="19">
        <v>957798</v>
      </c>
      <c r="E14" s="19">
        <v>273501</v>
      </c>
      <c r="F14" s="19">
        <v>344160</v>
      </c>
      <c r="G14" s="19">
        <f>SUM(C14:F14)</f>
        <v>5063097</v>
      </c>
    </row>
    <row r="15" spans="1:7" x14ac:dyDescent="0.25">
      <c r="B15" s="18" t="s">
        <v>17</v>
      </c>
      <c r="C15" s="19">
        <v>555480</v>
      </c>
      <c r="D15" s="19">
        <v>192472</v>
      </c>
      <c r="E15" s="19">
        <v>3439</v>
      </c>
      <c r="F15" s="19">
        <v>158168</v>
      </c>
      <c r="G15" s="19">
        <f>SUM(C15:F15)</f>
        <v>909559</v>
      </c>
    </row>
    <row r="16" spans="1:7" x14ac:dyDescent="0.25">
      <c r="B16" s="18" t="s">
        <v>18</v>
      </c>
      <c r="C16" s="19">
        <f>C15+C14</f>
        <v>4043118</v>
      </c>
      <c r="D16" s="19">
        <v>1150270</v>
      </c>
      <c r="E16" s="19">
        <v>276940</v>
      </c>
      <c r="F16" s="19">
        <v>502328</v>
      </c>
      <c r="G16" s="19">
        <f>SUM(C16:F16)</f>
        <v>5972656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3449</v>
      </c>
      <c r="D19" s="27">
        <v>3</v>
      </c>
      <c r="E19" s="27">
        <v>0</v>
      </c>
      <c r="F19" s="27">
        <v>0</v>
      </c>
      <c r="G19" s="27">
        <f>SUM(C19:F19)</f>
        <v>3452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4046567</v>
      </c>
      <c r="D21" s="19">
        <v>1150273</v>
      </c>
      <c r="E21" s="19">
        <v>276940</v>
      </c>
      <c r="F21" s="19">
        <f>F16</f>
        <v>502328</v>
      </c>
      <c r="G21" s="19">
        <f>SUM(C21:F21)</f>
        <v>5976108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405326</v>
      </c>
      <c r="D24" s="19">
        <v>213149</v>
      </c>
      <c r="E24" s="19">
        <v>161772</v>
      </c>
      <c r="F24" s="19">
        <v>690242</v>
      </c>
      <c r="G24" s="19">
        <f>SUM(C24:F24)</f>
        <v>1470489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4451893</v>
      </c>
      <c r="D27" s="19">
        <f>+D24+D21</f>
        <v>1363422</v>
      </c>
      <c r="E27" s="19">
        <f>+E24+E21</f>
        <v>438712</v>
      </c>
      <c r="F27" s="19">
        <f>+F24+F21</f>
        <v>1192570</v>
      </c>
      <c r="G27" s="19">
        <f>SUM(C27:F27)</f>
        <v>7446597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1221180</v>
      </c>
      <c r="D30" s="27">
        <v>122237</v>
      </c>
      <c r="E30" s="27">
        <v>67803</v>
      </c>
      <c r="F30" s="27">
        <v>182708</v>
      </c>
      <c r="G30" s="27">
        <f>SUM(C30:F30)</f>
        <v>1593928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4403607252917</v>
      </c>
      <c r="D33" s="27">
        <v>675061252754</v>
      </c>
      <c r="E33" s="27">
        <v>48238709500</v>
      </c>
      <c r="F33" s="27">
        <v>489292079007</v>
      </c>
      <c r="G33" s="27">
        <f>SUM(C33:F33)</f>
        <v>5616199294178</v>
      </c>
    </row>
    <row r="34" spans="2:9" x14ac:dyDescent="0.25">
      <c r="B34" s="14" t="s">
        <v>30</v>
      </c>
      <c r="C34" s="27">
        <v>182430300273</v>
      </c>
      <c r="D34" s="27">
        <v>76744989833</v>
      </c>
      <c r="E34" s="27">
        <v>209791741144</v>
      </c>
      <c r="F34" s="27">
        <v>218162435048</v>
      </c>
      <c r="G34" s="27">
        <f>SUM(C34:F34)</f>
        <v>687129466298</v>
      </c>
    </row>
    <row r="35" spans="2:9" x14ac:dyDescent="0.25">
      <c r="B35" s="39" t="s">
        <v>31</v>
      </c>
      <c r="C35" s="40">
        <f>SUM(C33:C34)</f>
        <v>4586037553190</v>
      </c>
      <c r="D35" s="40">
        <f>+D34+D33</f>
        <v>751806242587</v>
      </c>
      <c r="E35" s="40">
        <v>258030450644</v>
      </c>
      <c r="F35" s="40">
        <v>707454514055</v>
      </c>
      <c r="G35" s="40">
        <f>SUM(C35:F35)</f>
        <v>6303328760476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686806</v>
      </c>
      <c r="D40" s="27">
        <v>111685</v>
      </c>
      <c r="E40" s="27">
        <v>43795</v>
      </c>
      <c r="F40" s="27">
        <v>60628</v>
      </c>
      <c r="G40" s="27">
        <f>SUM(C40:F40)</f>
        <v>902914</v>
      </c>
      <c r="H40" s="7"/>
      <c r="I40" s="7"/>
    </row>
    <row r="41" spans="2:9" x14ac:dyDescent="0.25">
      <c r="B41" s="14" t="s">
        <v>36</v>
      </c>
      <c r="C41" s="27">
        <f>4596629281/1000000</f>
        <v>4596.6292810000004</v>
      </c>
      <c r="D41" s="27">
        <v>1269.1091269999999</v>
      </c>
      <c r="E41" s="27">
        <v>469.3</v>
      </c>
      <c r="F41" s="27">
        <v>631.83066599999995</v>
      </c>
      <c r="G41" s="11">
        <f>SUM(C41:F41)</f>
        <v>6966.8690740000002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5</v>
      </c>
      <c r="D44" s="27">
        <v>4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11">
        <f>4991135/1000000</f>
        <v>4.9911349999999999</v>
      </c>
      <c r="D45" s="11">
        <v>4.6240000000000003E-2</v>
      </c>
      <c r="E45" s="11">
        <v>0</v>
      </c>
      <c r="F45" s="11">
        <v>0</v>
      </c>
      <c r="G45" s="11">
        <f>SUM(C45:F45)</f>
        <v>5.0373749999999999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109467</v>
      </c>
      <c r="D48" s="27">
        <v>63337</v>
      </c>
      <c r="E48" s="27">
        <v>10313</v>
      </c>
      <c r="F48" s="27">
        <v>54531</v>
      </c>
      <c r="G48" s="27">
        <f>SUM(C48:F48)</f>
        <v>237648</v>
      </c>
      <c r="H48" s="7"/>
      <c r="I48" s="7"/>
    </row>
    <row r="49" spans="2:9" x14ac:dyDescent="0.25">
      <c r="B49" s="14" t="s">
        <v>42</v>
      </c>
      <c r="C49" s="27">
        <f>(102109386876+1606747699)/1000000</f>
        <v>103716.134575</v>
      </c>
      <c r="D49" s="27">
        <v>29170</v>
      </c>
      <c r="E49" s="27">
        <v>11411.756771</v>
      </c>
      <c r="F49" s="27">
        <v>13379.06683</v>
      </c>
      <c r="G49" s="11">
        <f>SUM(C49:F49)</f>
        <v>157676.95817600001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101794</v>
      </c>
      <c r="D55" s="27">
        <v>5232</v>
      </c>
      <c r="E55" s="27">
        <v>1077</v>
      </c>
      <c r="F55" s="27">
        <v>3370</v>
      </c>
      <c r="G55" s="27">
        <f t="shared" ref="G55:G71" si="0">SUM(C55:F55)</f>
        <v>111473</v>
      </c>
    </row>
    <row r="56" spans="2:9" x14ac:dyDescent="0.25">
      <c r="B56" s="14" t="s">
        <v>47</v>
      </c>
      <c r="C56" s="27">
        <v>81055.989814999994</v>
      </c>
      <c r="D56" s="27">
        <v>8169.8331150000004</v>
      </c>
      <c r="E56" s="27">
        <v>1816.16399</v>
      </c>
      <c r="F56" s="27">
        <v>5308</v>
      </c>
      <c r="G56" s="27">
        <f t="shared" si="0"/>
        <v>96349.986919999996</v>
      </c>
    </row>
    <row r="57" spans="2:9" x14ac:dyDescent="0.25">
      <c r="B57" s="14" t="s">
        <v>48</v>
      </c>
      <c r="C57" s="27">
        <v>13.6611391634085</v>
      </c>
      <c r="D57" s="27">
        <v>38</v>
      </c>
      <c r="E57" s="27">
        <v>21.898792943361187</v>
      </c>
      <c r="F57" s="27">
        <v>22</v>
      </c>
      <c r="G57" s="27">
        <f>AVERAGE(C57:F57)</f>
        <v>23.88998302669242</v>
      </c>
    </row>
    <row r="58" spans="2:9" x14ac:dyDescent="0.25">
      <c r="B58" s="14" t="s">
        <v>49</v>
      </c>
      <c r="C58" s="27">
        <v>956308</v>
      </c>
      <c r="D58" s="27">
        <v>160811</v>
      </c>
      <c r="E58" s="27">
        <v>53005</v>
      </c>
      <c r="F58" s="27">
        <v>85216</v>
      </c>
      <c r="G58" s="27">
        <f t="shared" si="0"/>
        <v>1255340</v>
      </c>
    </row>
    <row r="59" spans="2:9" x14ac:dyDescent="0.25">
      <c r="B59" s="14" t="s">
        <v>50</v>
      </c>
      <c r="C59" s="27">
        <v>2109499.9108290002</v>
      </c>
      <c r="D59" s="27">
        <v>303206.98479999998</v>
      </c>
      <c r="E59" s="27">
        <v>111881.773575</v>
      </c>
      <c r="F59" s="27">
        <v>205613</v>
      </c>
      <c r="G59" s="11">
        <f t="shared" si="0"/>
        <v>2730201.6692039999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4465</v>
      </c>
      <c r="D67" s="27">
        <v>1814</v>
      </c>
      <c r="E67" s="27">
        <v>2093</v>
      </c>
      <c r="F67" s="27">
        <v>6723</v>
      </c>
      <c r="G67" s="27">
        <f t="shared" si="0"/>
        <v>15095</v>
      </c>
    </row>
    <row r="68" spans="2:8" x14ac:dyDescent="0.25">
      <c r="B68" s="14" t="s">
        <v>47</v>
      </c>
      <c r="C68" s="27">
        <v>4449.3809780000001</v>
      </c>
      <c r="D68" s="27">
        <v>1900.7981460000101</v>
      </c>
      <c r="E68" s="27">
        <v>2695.09512</v>
      </c>
      <c r="F68" s="27">
        <v>6367</v>
      </c>
      <c r="G68" s="27">
        <f t="shared" si="0"/>
        <v>15412.274244000011</v>
      </c>
    </row>
    <row r="69" spans="2:8" x14ac:dyDescent="0.25">
      <c r="B69" s="14" t="s">
        <v>48</v>
      </c>
      <c r="C69" s="27">
        <v>33.484434490481497</v>
      </c>
      <c r="D69" s="27">
        <v>54</v>
      </c>
      <c r="E69" s="27">
        <v>51.387482083134259</v>
      </c>
      <c r="F69" s="27">
        <v>39</v>
      </c>
      <c r="G69" s="27">
        <f>AVERAGE(C69:F69)</f>
        <v>44.467979143403937</v>
      </c>
    </row>
    <row r="70" spans="2:8" x14ac:dyDescent="0.25">
      <c r="B70" s="14" t="s">
        <v>49</v>
      </c>
      <c r="C70" s="27">
        <v>141787</v>
      </c>
      <c r="D70" s="27">
        <v>92174</v>
      </c>
      <c r="E70" s="27">
        <v>80117</v>
      </c>
      <c r="F70" s="27">
        <v>282169</v>
      </c>
      <c r="G70" s="27">
        <f t="shared" si="0"/>
        <v>596247</v>
      </c>
    </row>
    <row r="71" spans="2:8" x14ac:dyDescent="0.25">
      <c r="B71" s="14" t="s">
        <v>50</v>
      </c>
      <c r="C71" s="27">
        <v>157231.53990999999</v>
      </c>
      <c r="D71" s="27">
        <v>113174.092793</v>
      </c>
      <c r="E71" s="27">
        <v>90438.928151999993</v>
      </c>
      <c r="F71" s="27">
        <v>284228</v>
      </c>
      <c r="G71" s="11">
        <f t="shared" si="0"/>
        <v>645072.56085500005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106259</v>
      </c>
      <c r="D73" s="19">
        <f>+D67+D61+D55</f>
        <v>7046</v>
      </c>
      <c r="E73" s="19">
        <v>3170</v>
      </c>
      <c r="F73" s="19">
        <f t="shared" ref="F73:F74" si="1">+F55+F67</f>
        <v>10093</v>
      </c>
      <c r="G73" s="19">
        <f>SUM(C73:F73)</f>
        <v>126568</v>
      </c>
    </row>
    <row r="74" spans="2:8" x14ac:dyDescent="0.25">
      <c r="B74" s="18" t="s">
        <v>47</v>
      </c>
      <c r="C74" s="19">
        <f>+C56+C68</f>
        <v>85505.370792999995</v>
      </c>
      <c r="D74" s="19">
        <f>+D68+D62+D56</f>
        <v>10070.63126100001</v>
      </c>
      <c r="E74" s="19">
        <v>4511.25911</v>
      </c>
      <c r="F74" s="19">
        <f t="shared" si="1"/>
        <v>11675</v>
      </c>
      <c r="G74" s="22">
        <f>SUM(C74:F74)</f>
        <v>111762.26116400001</v>
      </c>
    </row>
    <row r="75" spans="2:8" x14ac:dyDescent="0.25">
      <c r="B75" s="18" t="s">
        <v>48</v>
      </c>
      <c r="C75" s="19">
        <v>0</v>
      </c>
      <c r="D75" s="19">
        <f>(+D57+D63+D69)/3</f>
        <v>30.666666666666668</v>
      </c>
      <c r="E75" s="19">
        <v>41.36876971608833</v>
      </c>
      <c r="F75" s="19">
        <f>(F57+F69)/2</f>
        <v>30.5</v>
      </c>
      <c r="G75" s="19">
        <f>AVERAGE(C75:F75)</f>
        <v>25.633859095688749</v>
      </c>
    </row>
    <row r="76" spans="2:8" x14ac:dyDescent="0.25">
      <c r="B76" s="18" t="s">
        <v>49</v>
      </c>
      <c r="C76" s="19">
        <f>+C58+C70</f>
        <v>1098095</v>
      </c>
      <c r="D76" s="19">
        <f t="shared" ref="D76" si="2">+D70+D64+D58</f>
        <v>252985</v>
      </c>
      <c r="E76" s="19">
        <v>133122</v>
      </c>
      <c r="F76" s="19">
        <f t="shared" ref="F76:F77" si="3">+F58+F70</f>
        <v>367385</v>
      </c>
      <c r="G76" s="19">
        <f>SUM(C76:F76)</f>
        <v>1851587</v>
      </c>
    </row>
    <row r="77" spans="2:8" x14ac:dyDescent="0.25">
      <c r="B77" s="18" t="s">
        <v>50</v>
      </c>
      <c r="C77" s="19">
        <f>+C59+C71</f>
        <v>2266731.450739</v>
      </c>
      <c r="D77" s="19">
        <f>+D71+D65+D59</f>
        <v>416381.07759299997</v>
      </c>
      <c r="E77" s="19">
        <v>202320.70172700001</v>
      </c>
      <c r="F77" s="19">
        <f t="shared" si="3"/>
        <v>489841</v>
      </c>
      <c r="G77" s="22">
        <f>SUM(C77:F77)</f>
        <v>3375274.2300590002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969</v>
      </c>
      <c r="D84" s="24">
        <v>109</v>
      </c>
      <c r="E84" s="24">
        <v>5</v>
      </c>
      <c r="F84" s="24">
        <v>90</v>
      </c>
      <c r="G84" s="24">
        <f>SUM(C84:F84)</f>
        <v>1173</v>
      </c>
    </row>
    <row r="85" spans="2:7" x14ac:dyDescent="0.25">
      <c r="B85" s="14" t="s">
        <v>50</v>
      </c>
      <c r="C85" s="24">
        <v>20896.612054000001</v>
      </c>
      <c r="D85" s="24">
        <v>1391</v>
      </c>
      <c r="E85" s="24">
        <v>62</v>
      </c>
      <c r="F85" s="24">
        <v>1669.585493</v>
      </c>
      <c r="G85" s="11">
        <f>SUM(C85:F85)</f>
        <v>24019.197547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168.73096899999999</v>
      </c>
      <c r="D97" s="27">
        <v>0</v>
      </c>
      <c r="E97" s="27">
        <v>0</v>
      </c>
      <c r="F97" s="27">
        <v>74.241782999999998</v>
      </c>
      <c r="G97" s="11">
        <f>SUM(C97:F97)</f>
        <v>242.97275199999999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979</v>
      </c>
      <c r="D102" s="19">
        <f t="shared" ref="D102:D103" si="4">+D96+D90+D84</f>
        <v>109</v>
      </c>
      <c r="E102" s="19">
        <f>+E84</f>
        <v>5</v>
      </c>
      <c r="F102" s="19">
        <f>+F96+F84</f>
        <v>96</v>
      </c>
      <c r="G102" s="19">
        <f>SUM(C102:F102)</f>
        <v>1189</v>
      </c>
    </row>
    <row r="103" spans="2:8" x14ac:dyDescent="0.25">
      <c r="B103" s="18" t="s">
        <v>50</v>
      </c>
      <c r="C103" s="19">
        <f>+C97+C85</f>
        <v>21065.343023000001</v>
      </c>
      <c r="D103" s="19">
        <f t="shared" si="4"/>
        <v>1391</v>
      </c>
      <c r="E103" s="19">
        <f>+E85</f>
        <v>62</v>
      </c>
      <c r="F103" s="19">
        <f>+F85+F97</f>
        <v>1743.827276</v>
      </c>
      <c r="G103" s="22">
        <f>SUM(C103:F103)</f>
        <v>24262.170299000001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2.8282309377818202</v>
      </c>
      <c r="D107" s="13">
        <v>2.5499999999999998</v>
      </c>
      <c r="E107" s="33">
        <v>2.8329290617848972</v>
      </c>
      <c r="F107" s="13">
        <v>2.54</v>
      </c>
      <c r="G107" s="13">
        <f>AVERAGE(C107:F107)</f>
        <v>2.6877899998916792</v>
      </c>
    </row>
    <row r="108" spans="2:8" x14ac:dyDescent="0.25">
      <c r="B108" s="14" t="s">
        <v>60</v>
      </c>
      <c r="C108" s="13">
        <v>2.2665993150684538</v>
      </c>
      <c r="D108" s="13">
        <v>2.59</v>
      </c>
      <c r="E108" s="33">
        <v>2.6556701030927838</v>
      </c>
      <c r="F108" s="13">
        <v>2.58</v>
      </c>
      <c r="G108" s="13">
        <f>AVERAGE(C108:F108)</f>
        <v>2.5230673545403093</v>
      </c>
    </row>
    <row r="109" spans="2:8" x14ac:dyDescent="0.25">
      <c r="B109" s="14" t="s">
        <v>61</v>
      </c>
      <c r="C109" s="13">
        <v>2.2599153973139106</v>
      </c>
      <c r="D109" s="13">
        <v>2.59</v>
      </c>
      <c r="E109" s="33">
        <v>2.6270517928286852</v>
      </c>
      <c r="F109" s="13">
        <v>2.58</v>
      </c>
      <c r="G109" s="13">
        <f>AVERAGE(C109:F109)</f>
        <v>2.5142417975356492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1.9826923076923075</v>
      </c>
      <c r="D111" s="13">
        <v>1.95</v>
      </c>
      <c r="E111" s="33">
        <v>1.97</v>
      </c>
      <c r="F111" s="13">
        <v>1.7986666666666666</v>
      </c>
      <c r="G111" s="13">
        <f>AVERAGE(C111:F111)</f>
        <v>1.9253397435897435</v>
      </c>
    </row>
    <row r="112" spans="2:8" x14ac:dyDescent="0.25">
      <c r="B112" s="14" t="s">
        <v>60</v>
      </c>
      <c r="C112" s="13">
        <v>1.8442307692307687</v>
      </c>
      <c r="D112" s="13">
        <v>2.13</v>
      </c>
      <c r="E112" s="33">
        <v>2.13</v>
      </c>
      <c r="F112" s="13">
        <v>2.12</v>
      </c>
      <c r="G112" s="13">
        <f>AVERAGE(C112:F112)</f>
        <v>2.0560576923076921</v>
      </c>
    </row>
    <row r="113" spans="2:9" x14ac:dyDescent="0.25">
      <c r="B113" s="14" t="s">
        <v>61</v>
      </c>
      <c r="C113" s="13">
        <v>1.8119642857142895</v>
      </c>
      <c r="D113" s="13">
        <v>2.13</v>
      </c>
      <c r="E113" s="33">
        <v>2.13</v>
      </c>
      <c r="F113" s="13">
        <v>2.12</v>
      </c>
      <c r="G113" s="13">
        <f>AVERAGE(C113:F113)</f>
        <v>2.0479910714285721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1.4645252637423762</v>
      </c>
      <c r="D116" s="13">
        <v>1.79</v>
      </c>
      <c r="E116" s="33">
        <v>1.7986666666666666</v>
      </c>
      <c r="F116" s="13">
        <v>1.7802547770700636</v>
      </c>
      <c r="G116" s="13">
        <f>AVERAGE(C116:F116)</f>
        <v>1.7083616768697767</v>
      </c>
    </row>
    <row r="117" spans="2:9" x14ac:dyDescent="0.25">
      <c r="B117" s="14" t="s">
        <v>60</v>
      </c>
      <c r="C117" s="13">
        <v>1.7563042111879814</v>
      </c>
      <c r="D117" s="13">
        <v>1.79</v>
      </c>
      <c r="E117" s="33">
        <v>1.7973728813559322</v>
      </c>
      <c r="F117" s="13">
        <v>1.7802547770700636</v>
      </c>
      <c r="G117" s="13">
        <f>AVERAGE(C117:F117)</f>
        <v>1.7809829674034943</v>
      </c>
    </row>
    <row r="118" spans="2:9" x14ac:dyDescent="0.25">
      <c r="B118" s="14" t="s">
        <v>61</v>
      </c>
      <c r="C118" s="13">
        <v>1.7305121618527948</v>
      </c>
      <c r="D118" s="13">
        <v>1.74</v>
      </c>
      <c r="E118" s="33">
        <v>1.7802547770700636</v>
      </c>
      <c r="F118" s="13">
        <v>1.74</v>
      </c>
      <c r="G118" s="13">
        <f>AVERAGE(C118:F118)</f>
        <v>1.7476917347307146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3">
        <v>0.99</v>
      </c>
      <c r="F120" s="13">
        <v>1.2</v>
      </c>
      <c r="G120" s="13">
        <f>AVERAGE(C120:F120)</f>
        <v>1.2066666666666668</v>
      </c>
    </row>
    <row r="121" spans="2:9" x14ac:dyDescent="0.25">
      <c r="B121" s="14" t="s">
        <v>60</v>
      </c>
      <c r="C121" s="13">
        <v>1.34</v>
      </c>
      <c r="D121" s="13">
        <v>1.43</v>
      </c>
      <c r="E121" s="33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1.385</v>
      </c>
      <c r="D122" s="13">
        <v>1.43</v>
      </c>
      <c r="E122" s="33">
        <v>1.58</v>
      </c>
      <c r="F122" s="13">
        <v>1.43</v>
      </c>
      <c r="G122" s="13">
        <f>AVERAGE(C122:F122)</f>
        <v>1.4562499999999998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2.02</v>
      </c>
      <c r="D127" s="11">
        <v>2.125686</v>
      </c>
      <c r="E127" s="11">
        <v>2.223343937944537</v>
      </c>
      <c r="F127" s="11">
        <v>0</v>
      </c>
      <c r="G127" s="11">
        <f>AVERAGE(C127:E127)</f>
        <v>2.1230099793148454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245393</v>
      </c>
      <c r="D130" s="27">
        <v>3447</v>
      </c>
      <c r="E130" s="27">
        <v>6103</v>
      </c>
      <c r="F130" s="27">
        <v>762</v>
      </c>
      <c r="G130" s="27">
        <f>SUM(C130:F130)</f>
        <v>255705</v>
      </c>
    </row>
    <row r="131" spans="2:9" x14ac:dyDescent="0.25">
      <c r="B131" s="14" t="s">
        <v>71</v>
      </c>
      <c r="C131" s="27">
        <v>158471.78580499999</v>
      </c>
      <c r="D131" s="27">
        <v>3839</v>
      </c>
      <c r="E131" s="27">
        <v>950353</v>
      </c>
      <c r="F131" s="27">
        <v>769.54367300000001</v>
      </c>
      <c r="G131" s="11">
        <f>SUM(C131:F131)</f>
        <v>1113433.3294780001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845016</v>
      </c>
      <c r="D134" s="27">
        <v>406526</v>
      </c>
      <c r="E134" s="27">
        <v>156014</v>
      </c>
      <c r="F134" s="27">
        <v>373992</v>
      </c>
      <c r="G134" s="27">
        <f>SUM(C134:F134)</f>
        <v>1781548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14811</v>
      </c>
      <c r="G138" s="27">
        <f>SUM(C138:F138)</f>
        <v>14811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179</v>
      </c>
      <c r="G139" s="27">
        <f>SUM(C139:F139)</f>
        <v>179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11193</v>
      </c>
      <c r="E146" s="27">
        <v>0</v>
      </c>
      <c r="F146" s="24">
        <v>3453</v>
      </c>
      <c r="G146" s="27">
        <f>SUM(C146:F146)</f>
        <v>14646</v>
      </c>
    </row>
    <row r="147" spans="2:8" x14ac:dyDescent="0.25">
      <c r="B147" s="14" t="s">
        <v>82</v>
      </c>
      <c r="C147" s="27">
        <v>0</v>
      </c>
      <c r="D147" s="27">
        <v>246.428</v>
      </c>
      <c r="E147" s="27">
        <v>0</v>
      </c>
      <c r="F147" s="24">
        <v>38.429000000000002</v>
      </c>
      <c r="G147" s="11">
        <f>SUM(C147:F147)</f>
        <v>284.85699999999997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6.6000000000000003E-2</v>
      </c>
      <c r="E151" s="27">
        <v>0</v>
      </c>
      <c r="F151" s="27">
        <v>0</v>
      </c>
      <c r="G151" s="11">
        <f>SUM(C151:F151)</f>
        <v>6.6000000000000003E-2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64">
        <v>224</v>
      </c>
      <c r="E154" s="27">
        <v>0</v>
      </c>
      <c r="F154" s="27">
        <v>0</v>
      </c>
      <c r="G154" s="27">
        <f>SUM(C154:F154)</f>
        <v>224</v>
      </c>
      <c r="H154"/>
    </row>
    <row r="155" spans="2:8" x14ac:dyDescent="0.25">
      <c r="B155" s="14" t="s">
        <v>88</v>
      </c>
      <c r="C155" s="27">
        <v>0</v>
      </c>
      <c r="D155" s="27">
        <v>7.52</v>
      </c>
      <c r="E155" s="27">
        <v>0</v>
      </c>
      <c r="F155" s="27">
        <v>0</v>
      </c>
      <c r="G155" s="11">
        <f>SUM(C155:F155)</f>
        <v>7.52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11417</v>
      </c>
      <c r="E158" s="19">
        <v>0</v>
      </c>
      <c r="F158" s="19">
        <f t="shared" ref="F158:F159" si="5">+F146+F154</f>
        <v>3453</v>
      </c>
      <c r="G158" s="19">
        <f>SUM(C158:F158)</f>
        <v>14870</v>
      </c>
    </row>
    <row r="159" spans="2:8" x14ac:dyDescent="0.25">
      <c r="B159" s="18" t="s">
        <v>91</v>
      </c>
      <c r="C159" s="19">
        <v>0</v>
      </c>
      <c r="D159" s="19">
        <f>D147+D151+D155</f>
        <v>254.01400000000001</v>
      </c>
      <c r="E159" s="19">
        <v>0.09</v>
      </c>
      <c r="F159" s="19">
        <f t="shared" si="5"/>
        <v>38.429000000000002</v>
      </c>
      <c r="G159" s="22">
        <f>SUM(C159:F159)</f>
        <v>292.53300000000002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2966</v>
      </c>
      <c r="D162" s="27">
        <v>9957</v>
      </c>
      <c r="E162" s="27">
        <v>6391</v>
      </c>
      <c r="F162" s="27">
        <v>32110</v>
      </c>
      <c r="G162" s="27">
        <f>SUM(C162:F162)</f>
        <v>51424</v>
      </c>
    </row>
    <row r="163" spans="2:8" x14ac:dyDescent="0.25">
      <c r="B163" s="14" t="s">
        <v>88</v>
      </c>
      <c r="C163" s="27">
        <f>70229170/1000000</f>
        <v>70.229169999999996</v>
      </c>
      <c r="D163" s="27">
        <v>46.304000000000002</v>
      </c>
      <c r="E163" s="27">
        <v>106.121365</v>
      </c>
      <c r="F163" s="27">
        <v>195.637879</v>
      </c>
      <c r="G163" s="11">
        <f>SUM(C163:F163)</f>
        <v>418.29241400000001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1477</v>
      </c>
      <c r="D167" s="27">
        <v>3517</v>
      </c>
      <c r="E167" s="27">
        <v>110</v>
      </c>
      <c r="F167" s="27">
        <v>621</v>
      </c>
      <c r="G167" s="27">
        <f>SUM(C167:F167)</f>
        <v>5725</v>
      </c>
    </row>
    <row r="168" spans="2:8" x14ac:dyDescent="0.25">
      <c r="B168" s="14" t="s">
        <v>96</v>
      </c>
      <c r="C168" s="27">
        <f>51695000/1000000</f>
        <v>51.695</v>
      </c>
      <c r="D168" s="27">
        <v>75.465000000000003</v>
      </c>
      <c r="E168" s="27">
        <v>3</v>
      </c>
      <c r="F168" s="27">
        <v>22.274999999999999</v>
      </c>
      <c r="G168" s="11">
        <f>SUM(C168:F168)</f>
        <v>152.435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1959</v>
      </c>
      <c r="D171" s="27">
        <v>222</v>
      </c>
      <c r="E171" s="27">
        <v>101</v>
      </c>
      <c r="F171" s="27">
        <v>363</v>
      </c>
      <c r="G171" s="27">
        <f>SUM(C171:F171)</f>
        <v>2645</v>
      </c>
    </row>
    <row r="172" spans="2:8" x14ac:dyDescent="0.25">
      <c r="B172" s="14" t="s">
        <v>96</v>
      </c>
      <c r="C172" s="27">
        <f>68565000/1000000</f>
        <v>68.564999999999998</v>
      </c>
      <c r="D172" s="27">
        <v>4.6619999999999999</v>
      </c>
      <c r="E172" s="27">
        <v>2.5</v>
      </c>
      <c r="F172" s="27">
        <v>9.06</v>
      </c>
      <c r="G172" s="11">
        <f>SUM(C172:F172)</f>
        <v>84.787000000000006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279</v>
      </c>
      <c r="D175" s="27">
        <v>323</v>
      </c>
      <c r="E175" s="27">
        <v>155</v>
      </c>
      <c r="F175" s="27">
        <v>43</v>
      </c>
      <c r="G175" s="27">
        <f>SUM(C175:F175)</f>
        <v>800</v>
      </c>
    </row>
    <row r="176" spans="2:8" x14ac:dyDescent="0.25">
      <c r="B176" s="14" t="s">
        <v>96</v>
      </c>
      <c r="C176" s="27">
        <f>29080000/1000000</f>
        <v>29.08</v>
      </c>
      <c r="D176" s="27">
        <v>33.93</v>
      </c>
      <c r="E176" s="27">
        <v>8.7200000000000006</v>
      </c>
      <c r="F176" s="27">
        <v>4.5650000000000004</v>
      </c>
      <c r="G176" s="11">
        <f>SUM(C176:F176)</f>
        <v>76.295000000000002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404</v>
      </c>
      <c r="D179" s="27">
        <v>48</v>
      </c>
      <c r="E179" s="27">
        <v>0</v>
      </c>
      <c r="F179" s="27">
        <v>0</v>
      </c>
      <c r="G179" s="27">
        <f>SUM(C179:F179)</f>
        <v>452</v>
      </c>
    </row>
    <row r="180" spans="2:8" x14ac:dyDescent="0.25">
      <c r="B180" s="14" t="s">
        <v>96</v>
      </c>
      <c r="C180" s="27">
        <f>16415000/1000000</f>
        <v>16.414999999999999</v>
      </c>
      <c r="D180" s="27">
        <v>4.7117269999999998</v>
      </c>
      <c r="E180" s="27">
        <v>0</v>
      </c>
      <c r="F180" s="27">
        <v>0</v>
      </c>
      <c r="G180" s="11">
        <f>SUM(C180:F180)</f>
        <v>21.126726999999999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4119</v>
      </c>
      <c r="D183" s="19">
        <f>D167+D171+D175+D179</f>
        <v>4110</v>
      </c>
      <c r="E183" s="19">
        <v>366</v>
      </c>
      <c r="F183" s="19">
        <f>+F179+F175+F171+F167</f>
        <v>1027</v>
      </c>
      <c r="G183" s="19">
        <f>SUM(C183:F183)</f>
        <v>9622</v>
      </c>
    </row>
    <row r="184" spans="2:8" x14ac:dyDescent="0.25">
      <c r="B184" s="18" t="s">
        <v>103</v>
      </c>
      <c r="C184" s="19">
        <f>+C180+C176+C172+C168</f>
        <v>165.755</v>
      </c>
      <c r="D184" s="19">
        <f>D168+D172+D176+D180</f>
        <v>118.76872700000001</v>
      </c>
      <c r="E184" s="19">
        <v>14.22</v>
      </c>
      <c r="F184" s="19">
        <f>+F180+F176+F172+F168</f>
        <v>35.9</v>
      </c>
      <c r="G184" s="22">
        <f>SUM(C184:F184)</f>
        <v>334.64372700000001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2765</v>
      </c>
      <c r="D187" s="27">
        <v>0</v>
      </c>
      <c r="E187" s="27">
        <v>78</v>
      </c>
      <c r="F187" s="27">
        <v>36590</v>
      </c>
      <c r="G187" s="27">
        <f>SUM(C187:F187)</f>
        <v>39433</v>
      </c>
    </row>
    <row r="188" spans="2:8" x14ac:dyDescent="0.25">
      <c r="B188" s="14" t="s">
        <v>106</v>
      </c>
      <c r="C188" s="27">
        <f>24736987/1000000</f>
        <v>24.736986999999999</v>
      </c>
      <c r="D188" s="27">
        <v>0</v>
      </c>
      <c r="E188" s="27">
        <v>3.05</v>
      </c>
      <c r="F188" s="27">
        <v>269.96687900000001</v>
      </c>
      <c r="G188" s="11">
        <f>SUM(C188:F188)</f>
        <v>297.75386600000002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9850</v>
      </c>
      <c r="D191" s="19">
        <f>+D187+D183+D162+D158</f>
        <v>25484</v>
      </c>
      <c r="E191" s="19">
        <v>6835</v>
      </c>
      <c r="F191" s="19">
        <f>F158+F162+F183+F187</f>
        <v>73180</v>
      </c>
      <c r="G191" s="19">
        <f>SUM(C191:F191)</f>
        <v>115349</v>
      </c>
    </row>
    <row r="192" spans="2:8" x14ac:dyDescent="0.25">
      <c r="B192" s="18" t="s">
        <v>109</v>
      </c>
      <c r="C192" s="19">
        <f>C188+C163+C184</f>
        <v>260.72115700000001</v>
      </c>
      <c r="D192" s="19">
        <f>+D188+D184+D163+D159</f>
        <v>419.086727</v>
      </c>
      <c r="E192" s="19">
        <v>123.39136499999999</v>
      </c>
      <c r="F192" s="19">
        <f>F159+F184+F163+F188</f>
        <v>539.93375800000001</v>
      </c>
      <c r="G192" s="22">
        <f>SUM(C192:F192)</f>
        <v>1343.1330069999999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D196"/>
  <sheetViews>
    <sheetView topLeftCell="C174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54986</v>
      </c>
      <c r="D6" s="12">
        <v>8167</v>
      </c>
      <c r="E6" s="12">
        <v>7867</v>
      </c>
      <c r="F6" s="12">
        <v>9560</v>
      </c>
      <c r="G6" s="12">
        <f>+F6+E6+D6+C6</f>
        <v>80580</v>
      </c>
    </row>
    <row r="7" spans="1:7" x14ac:dyDescent="0.25">
      <c r="B7" s="14" t="s">
        <v>10</v>
      </c>
      <c r="C7" s="12">
        <v>557</v>
      </c>
      <c r="D7" s="12">
        <v>268</v>
      </c>
      <c r="E7" s="12">
        <v>24</v>
      </c>
      <c r="F7" s="12">
        <v>139</v>
      </c>
      <c r="G7" s="12">
        <f>+F7+E7+D7+C7</f>
        <v>988</v>
      </c>
    </row>
    <row r="8" spans="1:7" x14ac:dyDescent="0.25">
      <c r="B8" s="18" t="s">
        <v>11</v>
      </c>
      <c r="C8" s="25">
        <v>55543</v>
      </c>
      <c r="D8" s="25">
        <v>8435</v>
      </c>
      <c r="E8" s="25">
        <v>7891</v>
      </c>
      <c r="F8" s="25">
        <v>9699</v>
      </c>
      <c r="G8" s="25">
        <f>+F8+E8+D8+C8</f>
        <v>81568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755673</v>
      </c>
      <c r="D12" s="17">
        <v>94011</v>
      </c>
      <c r="E12" s="17">
        <v>38501</v>
      </c>
      <c r="F12" s="17">
        <v>0</v>
      </c>
      <c r="G12" s="17">
        <f>SUM(C12:F12)</f>
        <v>888185</v>
      </c>
    </row>
    <row r="13" spans="1:7" x14ac:dyDescent="0.25">
      <c r="B13" s="16" t="s">
        <v>15</v>
      </c>
      <c r="C13" s="17">
        <v>2761530</v>
      </c>
      <c r="D13" s="17">
        <v>556533</v>
      </c>
      <c r="E13" s="17">
        <v>238548</v>
      </c>
      <c r="F13" s="17">
        <v>0</v>
      </c>
      <c r="G13" s="17">
        <f>SUM(C13:F13)</f>
        <v>3556611</v>
      </c>
    </row>
    <row r="14" spans="1:7" x14ac:dyDescent="0.25">
      <c r="B14" s="18" t="s">
        <v>16</v>
      </c>
      <c r="C14" s="19">
        <v>3517203</v>
      </c>
      <c r="D14" s="19">
        <v>960887</v>
      </c>
      <c r="E14" s="19">
        <v>277049</v>
      </c>
      <c r="F14" s="19">
        <v>344051</v>
      </c>
      <c r="G14" s="19">
        <f>SUM(C14:F14)</f>
        <v>5099190</v>
      </c>
    </row>
    <row r="15" spans="1:7" x14ac:dyDescent="0.25">
      <c r="B15" s="18" t="s">
        <v>17</v>
      </c>
      <c r="C15" s="19">
        <v>554298</v>
      </c>
      <c r="D15" s="19">
        <v>193120</v>
      </c>
      <c r="E15" s="19">
        <v>3469</v>
      </c>
      <c r="F15" s="19">
        <v>159851</v>
      </c>
      <c r="G15" s="19">
        <f>SUM(C15:F15)</f>
        <v>910738</v>
      </c>
    </row>
    <row r="16" spans="1:7" x14ac:dyDescent="0.25">
      <c r="B16" s="18" t="s">
        <v>18</v>
      </c>
      <c r="C16" s="19">
        <v>4071501</v>
      </c>
      <c r="D16" s="19">
        <v>1154007</v>
      </c>
      <c r="E16" s="19">
        <v>280518</v>
      </c>
      <c r="F16" s="19">
        <v>503902</v>
      </c>
      <c r="G16" s="19">
        <f>SUM(C16:F16)</f>
        <v>6009928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3448</v>
      </c>
      <c r="D19" s="27">
        <v>3</v>
      </c>
      <c r="E19" s="27">
        <v>0</v>
      </c>
      <c r="F19" s="27">
        <v>0</v>
      </c>
      <c r="G19" s="27">
        <f>SUM(C19:F19)</f>
        <v>3451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v>4074949</v>
      </c>
      <c r="D21" s="19">
        <v>1154010</v>
      </c>
      <c r="E21" s="19">
        <v>280518</v>
      </c>
      <c r="F21" s="19">
        <v>503902</v>
      </c>
      <c r="G21" s="19">
        <f>SUM(C21:F21)</f>
        <v>6013379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405155</v>
      </c>
      <c r="D24" s="19">
        <v>213635</v>
      </c>
      <c r="E24" s="19">
        <v>163358</v>
      </c>
      <c r="F24" s="19">
        <v>691036</v>
      </c>
      <c r="G24" s="19">
        <f>SUM(C24:F24)</f>
        <v>1473184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4480104</v>
      </c>
      <c r="D27" s="19">
        <f>+D24+D21</f>
        <v>1367645</v>
      </c>
      <c r="E27" s="19">
        <f>+E24+E21</f>
        <v>443876</v>
      </c>
      <c r="F27" s="19">
        <f>+F24+F21</f>
        <v>1194938</v>
      </c>
      <c r="G27" s="19">
        <f>SUM(C27:F27)</f>
        <v>7486563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1193553</v>
      </c>
      <c r="D30" s="27">
        <v>119239</v>
      </c>
      <c r="E30" s="27">
        <v>68820</v>
      </c>
      <c r="F30" s="27">
        <v>188077</v>
      </c>
      <c r="G30" s="27">
        <f>SUM(C30:F30)</f>
        <v>1569689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4433306005975</v>
      </c>
      <c r="D33" s="27">
        <v>700156725631</v>
      </c>
      <c r="E33" s="27">
        <v>279429876449</v>
      </c>
      <c r="F33" s="27">
        <v>491805941881</v>
      </c>
      <c r="G33" s="27">
        <f>SUM(C33:F33)</f>
        <v>5904698549936</v>
      </c>
    </row>
    <row r="34" spans="2:9" x14ac:dyDescent="0.25">
      <c r="B34" s="14" t="s">
        <v>30</v>
      </c>
      <c r="C34" s="27">
        <v>184842777637</v>
      </c>
      <c r="D34" s="27">
        <v>77039964073</v>
      </c>
      <c r="E34" s="27">
        <v>52684688100</v>
      </c>
      <c r="F34" s="27">
        <v>218861950988</v>
      </c>
      <c r="G34" s="27">
        <f>SUM(C34:F34)</f>
        <v>533429380798</v>
      </c>
    </row>
    <row r="35" spans="2:9" x14ac:dyDescent="0.25">
      <c r="B35" s="39" t="s">
        <v>31</v>
      </c>
      <c r="C35" s="40">
        <v>4618148783612</v>
      </c>
      <c r="D35" s="40">
        <v>777196689704</v>
      </c>
      <c r="E35" s="40">
        <v>332114564549</v>
      </c>
      <c r="F35" s="40">
        <v>710667892869</v>
      </c>
      <c r="G35" s="40">
        <f>SUM(C35:F35)</f>
        <v>6438127930734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710474</v>
      </c>
      <c r="D40" s="27">
        <v>111049</v>
      </c>
      <c r="E40" s="27">
        <v>44937</v>
      </c>
      <c r="F40" s="27">
        <v>63282</v>
      </c>
      <c r="G40" s="27">
        <f>SUM(C40:F40)</f>
        <v>929742</v>
      </c>
      <c r="H40" s="7"/>
      <c r="I40" s="7"/>
    </row>
    <row r="41" spans="2:9" x14ac:dyDescent="0.25">
      <c r="B41" s="14" t="s">
        <v>36</v>
      </c>
      <c r="C41" s="27">
        <v>4329.1365880000003</v>
      </c>
      <c r="D41" s="27">
        <v>1260.5537440000001</v>
      </c>
      <c r="E41" s="27">
        <v>485.6</v>
      </c>
      <c r="F41" s="27">
        <v>649.34479999999996</v>
      </c>
      <c r="G41" s="11">
        <f>SUM(C41:F41)</f>
        <v>6724.6351320000003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5</v>
      </c>
      <c r="D44" s="27">
        <v>4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11">
        <v>5.0011320000000001</v>
      </c>
      <c r="D45" s="11">
        <v>4.9126999999999997E-2</v>
      </c>
      <c r="E45" s="11">
        <v>0</v>
      </c>
      <c r="F45" s="11">
        <v>0</v>
      </c>
      <c r="G45" s="11">
        <f>SUM(C45:F45)</f>
        <v>5.0502590000000005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144709</v>
      </c>
      <c r="D48" s="27">
        <v>66818</v>
      </c>
      <c r="E48" s="27">
        <v>10731</v>
      </c>
      <c r="F48" s="27">
        <v>57851</v>
      </c>
      <c r="G48" s="27">
        <f>SUM(C48:F48)</f>
        <v>280109</v>
      </c>
      <c r="H48" s="7"/>
      <c r="I48" s="7"/>
    </row>
    <row r="49" spans="2:9" x14ac:dyDescent="0.25">
      <c r="B49" s="14" t="s">
        <v>42</v>
      </c>
      <c r="C49" s="27">
        <v>99242.937951999993</v>
      </c>
      <c r="D49" s="27">
        <v>30216</v>
      </c>
      <c r="E49" s="27">
        <v>10912.582759999999</v>
      </c>
      <c r="F49" s="27">
        <v>12991.744886</v>
      </c>
      <c r="G49" s="11">
        <f>SUM(C49:F49)</f>
        <v>153363.265598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98435</v>
      </c>
      <c r="D55" s="27">
        <v>5370</v>
      </c>
      <c r="E55" s="27">
        <v>1213</v>
      </c>
      <c r="F55" s="27">
        <v>3345</v>
      </c>
      <c r="G55" s="27">
        <f t="shared" ref="G55:G71" si="0">SUM(C55:F55)</f>
        <v>108363</v>
      </c>
    </row>
    <row r="56" spans="2:9" x14ac:dyDescent="0.25">
      <c r="B56" s="14" t="s">
        <v>47</v>
      </c>
      <c r="C56" s="27">
        <v>74597.664936999994</v>
      </c>
      <c r="D56" s="27">
        <v>8690.2295900000208</v>
      </c>
      <c r="E56" s="27">
        <v>2035.650969</v>
      </c>
      <c r="F56" s="27">
        <v>5408</v>
      </c>
      <c r="G56" s="27">
        <f t="shared" si="0"/>
        <v>90731.545496000006</v>
      </c>
    </row>
    <row r="57" spans="2:9" x14ac:dyDescent="0.25">
      <c r="B57" s="14" t="s">
        <v>48</v>
      </c>
      <c r="C57" s="27">
        <v>13.1222024686341</v>
      </c>
      <c r="D57" s="27">
        <v>38</v>
      </c>
      <c r="E57" s="27">
        <v>21.899422918384172</v>
      </c>
      <c r="F57" s="27">
        <v>22</v>
      </c>
      <c r="G57" s="27">
        <f>AVERAGE(C57:F57)</f>
        <v>23.755406346754569</v>
      </c>
    </row>
    <row r="58" spans="2:9" x14ac:dyDescent="0.25">
      <c r="B58" s="14" t="s">
        <v>49</v>
      </c>
      <c r="C58" s="27">
        <v>968220</v>
      </c>
      <c r="D58" s="27">
        <v>161356</v>
      </c>
      <c r="E58" s="27">
        <v>52713</v>
      </c>
      <c r="F58" s="27">
        <v>85341</v>
      </c>
      <c r="G58" s="27">
        <f t="shared" si="0"/>
        <v>1267630</v>
      </c>
    </row>
    <row r="59" spans="2:9" x14ac:dyDescent="0.25">
      <c r="B59" s="14" t="s">
        <v>50</v>
      </c>
      <c r="C59" s="27">
        <v>2143389.665488</v>
      </c>
      <c r="D59" s="27">
        <v>305244.11605399998</v>
      </c>
      <c r="E59" s="27">
        <v>112209.86516299999</v>
      </c>
      <c r="F59" s="27">
        <v>207131</v>
      </c>
      <c r="G59" s="11">
        <f t="shared" si="0"/>
        <v>2767974.6467049997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4148</v>
      </c>
      <c r="D67" s="27">
        <v>1643</v>
      </c>
      <c r="E67" s="27">
        <v>1953</v>
      </c>
      <c r="F67" s="27">
        <v>6316</v>
      </c>
      <c r="G67" s="27">
        <f t="shared" si="0"/>
        <v>14060</v>
      </c>
    </row>
    <row r="68" spans="2:8" x14ac:dyDescent="0.25">
      <c r="B68" s="14" t="s">
        <v>47</v>
      </c>
      <c r="C68" s="27">
        <v>3822.972878</v>
      </c>
      <c r="D68" s="27">
        <v>1718.4740360000101</v>
      </c>
      <c r="E68" s="27">
        <v>2623.0033469999998</v>
      </c>
      <c r="F68" s="27">
        <v>5690</v>
      </c>
      <c r="G68" s="27">
        <f t="shared" si="0"/>
        <v>13854.450261000009</v>
      </c>
    </row>
    <row r="69" spans="2:8" x14ac:dyDescent="0.25">
      <c r="B69" s="14" t="s">
        <v>48</v>
      </c>
      <c r="C69" s="27">
        <v>32.555689488910303</v>
      </c>
      <c r="D69" s="27">
        <v>54</v>
      </c>
      <c r="E69" s="27">
        <v>51.022529441884281</v>
      </c>
      <c r="F69" s="27">
        <v>39</v>
      </c>
      <c r="G69" s="27">
        <f>AVERAGE(C69:F69)</f>
        <v>44.144554732698644</v>
      </c>
    </row>
    <row r="70" spans="2:8" x14ac:dyDescent="0.25">
      <c r="B70" s="14" t="s">
        <v>49</v>
      </c>
      <c r="C70" s="27">
        <v>142020</v>
      </c>
      <c r="D70" s="27">
        <v>92290</v>
      </c>
      <c r="E70" s="27">
        <v>81507</v>
      </c>
      <c r="F70" s="27">
        <v>283074</v>
      </c>
      <c r="G70" s="27">
        <f t="shared" si="0"/>
        <v>598891</v>
      </c>
    </row>
    <row r="71" spans="2:8" x14ac:dyDescent="0.25">
      <c r="B71" s="14" t="s">
        <v>50</v>
      </c>
      <c r="C71" s="27">
        <v>158958.32294300001</v>
      </c>
      <c r="D71" s="27">
        <v>113410.522618</v>
      </c>
      <c r="E71" s="27">
        <v>92766.806448000003</v>
      </c>
      <c r="F71" s="27">
        <v>286681</v>
      </c>
      <c r="G71" s="11">
        <f t="shared" si="0"/>
        <v>651816.65200900007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102583</v>
      </c>
      <c r="D73" s="19">
        <f>+D67+D61+D55</f>
        <v>7013</v>
      </c>
      <c r="E73" s="19">
        <f>+E67+E61+E55</f>
        <v>3166</v>
      </c>
      <c r="F73" s="19">
        <f t="shared" ref="F73:F74" si="1">+F55+F67</f>
        <v>9661</v>
      </c>
      <c r="G73" s="19">
        <f>SUM(C73:F73)</f>
        <v>122423</v>
      </c>
    </row>
    <row r="74" spans="2:8" x14ac:dyDescent="0.25">
      <c r="B74" s="18" t="s">
        <v>47</v>
      </c>
      <c r="C74" s="19">
        <f>+C56+C68</f>
        <v>78420.637814999995</v>
      </c>
      <c r="D74" s="19">
        <f>+D68+D62+D56</f>
        <v>10408.703626000031</v>
      </c>
      <c r="E74" s="19">
        <f>+E68+E62+E56</f>
        <v>4658.6543160000001</v>
      </c>
      <c r="F74" s="19">
        <f t="shared" si="1"/>
        <v>11098</v>
      </c>
      <c r="G74" s="22">
        <f>SUM(C74:F74)</f>
        <v>104585.99575700003</v>
      </c>
    </row>
    <row r="75" spans="2:8" x14ac:dyDescent="0.25">
      <c r="B75" s="18" t="s">
        <v>48</v>
      </c>
      <c r="C75" s="19">
        <v>14</v>
      </c>
      <c r="D75" s="19">
        <f>(+D57+D63+D69)/3</f>
        <v>30.666666666666668</v>
      </c>
      <c r="E75" s="19">
        <v>40</v>
      </c>
      <c r="F75" s="19">
        <f>(F57+F69)/2</f>
        <v>30.5</v>
      </c>
      <c r="G75" s="19">
        <f>AVERAGE(C75:F75)</f>
        <v>28.791666666666668</v>
      </c>
    </row>
    <row r="76" spans="2:8" x14ac:dyDescent="0.25">
      <c r="B76" s="18" t="s">
        <v>49</v>
      </c>
      <c r="C76" s="19">
        <f>+C58+C70</f>
        <v>1110240</v>
      </c>
      <c r="D76" s="19">
        <f t="shared" ref="D76:E76" si="2">+D70+D64+D58</f>
        <v>253646</v>
      </c>
      <c r="E76" s="19">
        <f t="shared" si="2"/>
        <v>134220</v>
      </c>
      <c r="F76" s="19">
        <f t="shared" ref="F76:F77" si="3">+F58+F70</f>
        <v>368415</v>
      </c>
      <c r="G76" s="19">
        <f>SUM(C76:F76)</f>
        <v>1866521</v>
      </c>
    </row>
    <row r="77" spans="2:8" x14ac:dyDescent="0.25">
      <c r="B77" s="18" t="s">
        <v>50</v>
      </c>
      <c r="C77" s="19">
        <f>+C59+C71</f>
        <v>2302347.9884310002</v>
      </c>
      <c r="D77" s="19">
        <f>+D71+D65+D59</f>
        <v>418654.63867199997</v>
      </c>
      <c r="E77" s="19">
        <f>+E71+E65+E59</f>
        <v>204976.671611</v>
      </c>
      <c r="F77" s="19">
        <f t="shared" si="3"/>
        <v>493812</v>
      </c>
      <c r="G77" s="22">
        <f>SUM(C77:F77)</f>
        <v>3419791.2987139998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968</v>
      </c>
      <c r="D84" s="24">
        <v>109</v>
      </c>
      <c r="E84" s="24">
        <v>5</v>
      </c>
      <c r="F84" s="24">
        <v>89</v>
      </c>
      <c r="G84" s="24">
        <f>SUM(C84:F84)</f>
        <v>1171</v>
      </c>
    </row>
    <row r="85" spans="2:7" x14ac:dyDescent="0.25">
      <c r="B85" s="14" t="s">
        <v>50</v>
      </c>
      <c r="C85" s="24">
        <v>20881.06741</v>
      </c>
      <c r="D85" s="24">
        <v>1387</v>
      </c>
      <c r="E85" s="24">
        <v>62</v>
      </c>
      <c r="F85" s="24">
        <v>1657.464547</v>
      </c>
      <c r="G85" s="11">
        <f>SUM(C85:F85)</f>
        <v>23987.531956999999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168.25140300000001</v>
      </c>
      <c r="D97" s="27">
        <v>0</v>
      </c>
      <c r="E97" s="27">
        <v>0</v>
      </c>
      <c r="F97" s="27">
        <v>74.241782999999998</v>
      </c>
      <c r="G97" s="11">
        <f>SUM(C97:F97)</f>
        <v>242.49318600000001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978</v>
      </c>
      <c r="D102" s="19">
        <f t="shared" ref="D102:D103" si="4">+D96+D90+D84</f>
        <v>109</v>
      </c>
      <c r="E102" s="19">
        <f>+E84</f>
        <v>5</v>
      </c>
      <c r="F102" s="19">
        <f>+F96+F84</f>
        <v>95</v>
      </c>
      <c r="G102" s="19">
        <f>SUM(C102:F102)</f>
        <v>1187</v>
      </c>
    </row>
    <row r="103" spans="2:8" x14ac:dyDescent="0.25">
      <c r="B103" s="18" t="s">
        <v>50</v>
      </c>
      <c r="C103" s="19">
        <f>+C97+C85</f>
        <v>21049.318812999998</v>
      </c>
      <c r="D103" s="19">
        <f t="shared" si="4"/>
        <v>1387</v>
      </c>
      <c r="E103" s="19">
        <f>+E85</f>
        <v>62</v>
      </c>
      <c r="F103" s="19">
        <f>+F85+F97</f>
        <v>1731.70633</v>
      </c>
      <c r="G103" s="22">
        <f>SUM(C103:F103)</f>
        <v>24230.025142999999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2.8315697172280276</v>
      </c>
      <c r="D107" s="13">
        <v>2.5499999999999998</v>
      </c>
      <c r="E107" s="33">
        <v>2.6783725910064238</v>
      </c>
      <c r="F107" s="13">
        <v>2.54</v>
      </c>
      <c r="G107" s="13">
        <f>AVERAGE(C107:F107)</f>
        <v>2.6499855770586125</v>
      </c>
    </row>
    <row r="108" spans="2:8" x14ac:dyDescent="0.25">
      <c r="B108" s="14" t="s">
        <v>60</v>
      </c>
      <c r="C108" s="13">
        <v>2.2707360376248862</v>
      </c>
      <c r="D108" s="13">
        <v>2.59</v>
      </c>
      <c r="E108" s="33">
        <v>2.5083211678832118</v>
      </c>
      <c r="F108" s="13">
        <v>2.58</v>
      </c>
      <c r="G108" s="13">
        <f>AVERAGE(C108:F108)</f>
        <v>2.4872643013770244</v>
      </c>
    </row>
    <row r="109" spans="2:8" x14ac:dyDescent="0.25">
      <c r="B109" s="14" t="s">
        <v>61</v>
      </c>
      <c r="C109" s="13">
        <v>2.1433740302502837</v>
      </c>
      <c r="D109" s="13">
        <v>2.59</v>
      </c>
      <c r="E109" s="33">
        <v>2.4789090909090912</v>
      </c>
      <c r="F109" s="13">
        <v>2.58</v>
      </c>
      <c r="G109" s="13">
        <f>AVERAGE(C109:F109)</f>
        <v>2.4480707802898438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1.55</v>
      </c>
      <c r="D111" s="13">
        <v>1.95</v>
      </c>
      <c r="E111" s="33">
        <v>1.77</v>
      </c>
      <c r="F111" s="13">
        <v>1.7986666666666666</v>
      </c>
      <c r="G111" s="13">
        <f>AVERAGE(C111:F111)</f>
        <v>1.7671666666666666</v>
      </c>
    </row>
    <row r="112" spans="2:8" x14ac:dyDescent="0.25">
      <c r="B112" s="14" t="s">
        <v>60</v>
      </c>
      <c r="C112" s="13">
        <v>1.5500000000000065</v>
      </c>
      <c r="D112" s="13">
        <v>2.13</v>
      </c>
      <c r="E112" s="33">
        <v>1.91</v>
      </c>
      <c r="F112" s="13">
        <v>2.12</v>
      </c>
      <c r="G112" s="13">
        <f>AVERAGE(C112:F112)</f>
        <v>1.9275000000000015</v>
      </c>
    </row>
    <row r="113" spans="2:9" x14ac:dyDescent="0.25">
      <c r="B113" s="14" t="s">
        <v>61</v>
      </c>
      <c r="C113" s="13">
        <v>1.8782989690721896</v>
      </c>
      <c r="D113" s="13">
        <v>2.13</v>
      </c>
      <c r="E113" s="33">
        <v>2.06</v>
      </c>
      <c r="F113" s="13">
        <v>2.12</v>
      </c>
      <c r="G113" s="13">
        <f>AVERAGE(C113:F113)</f>
        <v>2.0470747422680473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1.4545785123966999</v>
      </c>
      <c r="D116" s="13">
        <v>1.79</v>
      </c>
      <c r="E116" s="33">
        <v>1.5195161290322579</v>
      </c>
      <c r="F116" s="13">
        <v>1.7802547770700636</v>
      </c>
      <c r="G116" s="13">
        <f>AVERAGE(C116:F116)</f>
        <v>1.6360873546247554</v>
      </c>
    </row>
    <row r="117" spans="2:9" x14ac:dyDescent="0.25">
      <c r="B117" s="14" t="s">
        <v>60</v>
      </c>
      <c r="C117" s="13">
        <v>1.7570731707317477</v>
      </c>
      <c r="D117" s="13">
        <v>1.79</v>
      </c>
      <c r="E117" s="33">
        <v>1.5451181102362204</v>
      </c>
      <c r="F117" s="13">
        <v>1.7802547770700636</v>
      </c>
      <c r="G117" s="13">
        <f>AVERAGE(C117:F117)</f>
        <v>1.7181115145095081</v>
      </c>
    </row>
    <row r="118" spans="2:9" x14ac:dyDescent="0.25">
      <c r="B118" s="14" t="s">
        <v>61</v>
      </c>
      <c r="C118" s="13">
        <v>1.6835381736527044</v>
      </c>
      <c r="D118" s="13">
        <v>1.74</v>
      </c>
      <c r="E118" s="33">
        <v>1.7</v>
      </c>
      <c r="F118" s="13">
        <v>1.74</v>
      </c>
      <c r="G118" s="13">
        <f>AVERAGE(C118:F118)</f>
        <v>1.7158845434131762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3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3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1.4268965517241379</v>
      </c>
      <c r="D122" s="13">
        <v>1.43</v>
      </c>
      <c r="E122" s="33">
        <v>1.5</v>
      </c>
      <c r="F122" s="13">
        <v>1.43</v>
      </c>
      <c r="G122" s="13">
        <f>AVERAGE(C122:F122)</f>
        <v>1.4467241379310343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2.02</v>
      </c>
      <c r="D127" s="11">
        <v>2.125686</v>
      </c>
      <c r="E127" s="11">
        <v>2.21</v>
      </c>
      <c r="F127" s="11">
        <v>0</v>
      </c>
      <c r="G127" s="11">
        <f>AVERAGE(C127:E127)</f>
        <v>2.1185619999999998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247224</v>
      </c>
      <c r="D130" s="27">
        <v>3447</v>
      </c>
      <c r="E130" s="27">
        <v>6098</v>
      </c>
      <c r="F130" s="27">
        <v>761</v>
      </c>
      <c r="G130" s="27">
        <f>SUM(C130:F130)</f>
        <v>257530</v>
      </c>
    </row>
    <row r="131" spans="2:9" x14ac:dyDescent="0.25">
      <c r="B131" s="14" t="s">
        <v>71</v>
      </c>
      <c r="C131" s="27">
        <v>159799.19826100001</v>
      </c>
      <c r="D131" s="27">
        <v>3806</v>
      </c>
      <c r="E131" s="27">
        <v>954369</v>
      </c>
      <c r="F131" s="27">
        <v>784.07218399999999</v>
      </c>
      <c r="G131" s="11">
        <f>SUM(C131:F131)</f>
        <v>1118758.2704449999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845545</v>
      </c>
      <c r="D134" s="27">
        <v>406336</v>
      </c>
      <c r="E134" s="27">
        <v>157283</v>
      </c>
      <c r="F134" s="27">
        <v>374563</v>
      </c>
      <c r="G134" s="27">
        <f>SUM(C134:F134)</f>
        <v>1783727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14696</v>
      </c>
      <c r="G138" s="27">
        <f>SUM(C138:F138)</f>
        <v>14696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211</v>
      </c>
      <c r="G139" s="27">
        <f>SUM(C139:F139)</f>
        <v>211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6297</v>
      </c>
      <c r="E146" s="27">
        <v>0</v>
      </c>
      <c r="F146" s="24">
        <v>1810</v>
      </c>
      <c r="G146" s="27">
        <f>SUM(C146:F146)</f>
        <v>8107</v>
      </c>
    </row>
    <row r="147" spans="2:8" x14ac:dyDescent="0.25">
      <c r="B147" s="14" t="s">
        <v>82</v>
      </c>
      <c r="C147" s="27">
        <v>0</v>
      </c>
      <c r="D147" s="27">
        <v>138.702</v>
      </c>
      <c r="E147" s="27">
        <v>0</v>
      </c>
      <c r="F147" s="24">
        <v>19.715</v>
      </c>
      <c r="G147" s="11">
        <f>SUM(C147:F147)</f>
        <v>158.417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6.6000000000000003E-2</v>
      </c>
      <c r="E151" s="27">
        <v>0</v>
      </c>
      <c r="F151" s="27">
        <v>0</v>
      </c>
      <c r="G151" s="11">
        <f>SUM(C151:F151)</f>
        <v>6.6000000000000003E-2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106</v>
      </c>
      <c r="E154" s="27">
        <v>0</v>
      </c>
      <c r="F154" s="27">
        <v>0</v>
      </c>
      <c r="G154" s="27">
        <f>SUM(C154:F154)</f>
        <v>106</v>
      </c>
      <c r="H154"/>
    </row>
    <row r="155" spans="2:8" x14ac:dyDescent="0.25">
      <c r="B155" s="14" t="s">
        <v>88</v>
      </c>
      <c r="C155" s="27">
        <v>0</v>
      </c>
      <c r="D155" s="27">
        <v>2.5</v>
      </c>
      <c r="E155" s="27">
        <v>0</v>
      </c>
      <c r="F155" s="27">
        <v>0</v>
      </c>
      <c r="G155" s="11">
        <f>SUM(C155:F155)</f>
        <v>2.5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6403</v>
      </c>
      <c r="E158" s="19">
        <v>0</v>
      </c>
      <c r="F158" s="19">
        <f t="shared" ref="F158:F159" si="5">+F146+F154</f>
        <v>1810</v>
      </c>
      <c r="G158" s="19">
        <f>SUM(C158:F158)</f>
        <v>8213</v>
      </c>
    </row>
    <row r="159" spans="2:8" x14ac:dyDescent="0.25">
      <c r="B159" s="18" t="s">
        <v>91</v>
      </c>
      <c r="C159" s="19">
        <v>0</v>
      </c>
      <c r="D159" s="19">
        <f>D147+D151+D155</f>
        <v>141.268</v>
      </c>
      <c r="E159" s="19">
        <v>0.09</v>
      </c>
      <c r="F159" s="19">
        <f t="shared" si="5"/>
        <v>19.715</v>
      </c>
      <c r="G159" s="22">
        <f>SUM(C159:F159)</f>
        <v>161.07300000000001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3138</v>
      </c>
      <c r="D162" s="27">
        <v>10669</v>
      </c>
      <c r="E162" s="27">
        <v>6660</v>
      </c>
      <c r="F162" s="27">
        <v>34584</v>
      </c>
      <c r="G162" s="27">
        <f>SUM(C162:F162)</f>
        <v>55051</v>
      </c>
    </row>
    <row r="163" spans="2:8" x14ac:dyDescent="0.25">
      <c r="B163" s="14" t="s">
        <v>88</v>
      </c>
      <c r="C163" s="27">
        <v>74.800991999999994</v>
      </c>
      <c r="D163" s="27">
        <v>49.538370999999998</v>
      </c>
      <c r="E163" s="27">
        <v>117.057711</v>
      </c>
      <c r="F163" s="27">
        <v>225.01804200000001</v>
      </c>
      <c r="G163" s="11">
        <f>SUM(C163:F163)</f>
        <v>466.41511600000001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1016</v>
      </c>
      <c r="D167" s="27">
        <v>2534</v>
      </c>
      <c r="E167" s="27">
        <v>95</v>
      </c>
      <c r="F167" s="27">
        <v>643</v>
      </c>
      <c r="G167" s="27">
        <f>SUM(C167:F167)</f>
        <v>4288</v>
      </c>
    </row>
    <row r="168" spans="2:8" x14ac:dyDescent="0.25">
      <c r="B168" s="14" t="s">
        <v>96</v>
      </c>
      <c r="C168" s="27">
        <v>35.56</v>
      </c>
      <c r="D168" s="27">
        <v>54.674999999999997</v>
      </c>
      <c r="E168" s="27">
        <v>2.7</v>
      </c>
      <c r="F168" s="27">
        <v>24.125</v>
      </c>
      <c r="G168" s="11">
        <f>SUM(C168:F168)</f>
        <v>117.06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2061</v>
      </c>
      <c r="D171" s="27">
        <v>211</v>
      </c>
      <c r="E171" s="27">
        <v>93</v>
      </c>
      <c r="F171" s="27">
        <v>397</v>
      </c>
      <c r="G171" s="27">
        <f>SUM(C171:F171)</f>
        <v>2762</v>
      </c>
    </row>
    <row r="172" spans="2:8" x14ac:dyDescent="0.25">
      <c r="B172" s="14" t="s">
        <v>96</v>
      </c>
      <c r="C172" s="27">
        <v>72.135000000000005</v>
      </c>
      <c r="D172" s="27">
        <v>4.431</v>
      </c>
      <c r="E172" s="27">
        <v>2.2999999999999998</v>
      </c>
      <c r="F172" s="27">
        <v>9.9139999999999997</v>
      </c>
      <c r="G172" s="11">
        <f>SUM(C172:F172)</f>
        <v>88.78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277</v>
      </c>
      <c r="D175" s="27">
        <v>327</v>
      </c>
      <c r="E175" s="27">
        <v>172</v>
      </c>
      <c r="F175" s="27">
        <v>49</v>
      </c>
      <c r="G175" s="27">
        <f>SUM(C175:F175)</f>
        <v>825</v>
      </c>
    </row>
    <row r="176" spans="2:8" x14ac:dyDescent="0.25">
      <c r="B176" s="14" t="s">
        <v>96</v>
      </c>
      <c r="C176" s="27">
        <v>29</v>
      </c>
      <c r="D176" s="27">
        <v>34.07</v>
      </c>
      <c r="E176" s="27">
        <v>9.52</v>
      </c>
      <c r="F176" s="27">
        <v>5.1950000000000003</v>
      </c>
      <c r="G176" s="11">
        <f>SUM(C176:F176)</f>
        <v>77.784999999999997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390</v>
      </c>
      <c r="D179" s="27">
        <v>46</v>
      </c>
      <c r="E179" s="27">
        <v>0</v>
      </c>
      <c r="F179" s="27">
        <v>0</v>
      </c>
      <c r="G179" s="27">
        <f>SUM(C179:F179)</f>
        <v>436</v>
      </c>
    </row>
    <row r="180" spans="2:8" x14ac:dyDescent="0.25">
      <c r="B180" s="14" t="s">
        <v>96</v>
      </c>
      <c r="C180" s="27">
        <v>15.835000000000001</v>
      </c>
      <c r="D180" s="27">
        <v>4.3786300000000002</v>
      </c>
      <c r="E180" s="27">
        <v>0</v>
      </c>
      <c r="F180" s="27">
        <v>0</v>
      </c>
      <c r="G180" s="11">
        <f>SUM(C180:F180)</f>
        <v>20.213630000000002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3744</v>
      </c>
      <c r="D183" s="19">
        <f>D167+D171+D175+D179</f>
        <v>3118</v>
      </c>
      <c r="E183" s="19">
        <v>360</v>
      </c>
      <c r="F183" s="19">
        <f>+F179+F175+F171+F167</f>
        <v>1089</v>
      </c>
      <c r="G183" s="19">
        <f>SUM(C183:F183)</f>
        <v>8311</v>
      </c>
    </row>
    <row r="184" spans="2:8" x14ac:dyDescent="0.25">
      <c r="B184" s="18" t="s">
        <v>103</v>
      </c>
      <c r="C184" s="19">
        <f>+C180+C176+C172+C168</f>
        <v>152.53</v>
      </c>
      <c r="D184" s="19">
        <f>D168+D172+D176+D180</f>
        <v>97.554629999999989</v>
      </c>
      <c r="E184" s="19">
        <v>14.52</v>
      </c>
      <c r="F184" s="19">
        <f>+F180+F176+F172+F168</f>
        <v>39.234000000000002</v>
      </c>
      <c r="G184" s="22">
        <f>SUM(C184:F184)</f>
        <v>303.83862999999997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2234</v>
      </c>
      <c r="D187" s="27">
        <v>0</v>
      </c>
      <c r="E187" s="27">
        <v>78</v>
      </c>
      <c r="F187" s="27">
        <v>37483</v>
      </c>
      <c r="G187" s="27">
        <f>SUM(C187:F187)</f>
        <v>39795</v>
      </c>
    </row>
    <row r="188" spans="2:8" x14ac:dyDescent="0.25">
      <c r="B188" s="14" t="s">
        <v>106</v>
      </c>
      <c r="C188" s="27">
        <v>20.681457000000002</v>
      </c>
      <c r="D188" s="27">
        <v>0</v>
      </c>
      <c r="E188" s="27">
        <v>3.05</v>
      </c>
      <c r="F188" s="27">
        <v>283.96704199999999</v>
      </c>
      <c r="G188" s="11">
        <f>SUM(C188:F188)</f>
        <v>307.69849899999997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9116</v>
      </c>
      <c r="D191" s="19">
        <f>+D187+D183+D162+D158</f>
        <v>20190</v>
      </c>
      <c r="E191" s="19">
        <v>7088</v>
      </c>
      <c r="F191" s="19">
        <f>F158+F162+F183+F187</f>
        <v>74966</v>
      </c>
      <c r="G191" s="19">
        <f>SUM(C191:F191)</f>
        <v>111360</v>
      </c>
    </row>
    <row r="192" spans="2:8" x14ac:dyDescent="0.25">
      <c r="B192" s="18" t="s">
        <v>109</v>
      </c>
      <c r="C192" s="19">
        <f>C188+C163+C184</f>
        <v>248.012449</v>
      </c>
      <c r="D192" s="19">
        <f>+D188+D184+D163+D159</f>
        <v>288.36100099999999</v>
      </c>
      <c r="E192" s="19">
        <v>134.287711</v>
      </c>
      <c r="F192" s="19">
        <f>F159+F184+F163+F188</f>
        <v>567.93408399999998</v>
      </c>
      <c r="G192" s="22">
        <f>SUM(C192:F192)</f>
        <v>1238.595245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7786-0AA7-462F-A756-2A6E9D461931}">
  <dimension ref="A1:BD196"/>
  <sheetViews>
    <sheetView zoomScaleNormal="100" workbookViewId="0">
      <selection activeCell="F191" sqref="F191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54886</v>
      </c>
      <c r="D6" s="12">
        <v>8154</v>
      </c>
      <c r="E6" s="12">
        <v>7833</v>
      </c>
      <c r="F6" s="12">
        <v>9564</v>
      </c>
      <c r="G6" s="12">
        <f>+F6+E6+D6+C6</f>
        <v>80437</v>
      </c>
    </row>
    <row r="7" spans="1:7" x14ac:dyDescent="0.25">
      <c r="B7" s="14" t="s">
        <v>10</v>
      </c>
      <c r="C7" s="12">
        <v>555</v>
      </c>
      <c r="D7" s="12">
        <v>269</v>
      </c>
      <c r="E7" s="12">
        <v>23</v>
      </c>
      <c r="F7" s="12">
        <v>139</v>
      </c>
      <c r="G7" s="12">
        <f>+F7+E7+D7+C7</f>
        <v>986</v>
      </c>
    </row>
    <row r="8" spans="1:7" x14ac:dyDescent="0.25">
      <c r="B8" s="18" t="s">
        <v>11</v>
      </c>
      <c r="C8" s="25">
        <f>SUM(C6:C7)</f>
        <v>55441</v>
      </c>
      <c r="D8" s="25">
        <f>+D6+D7</f>
        <v>8423</v>
      </c>
      <c r="E8" s="25">
        <v>7856</v>
      </c>
      <c r="F8" s="25">
        <v>9703</v>
      </c>
      <c r="G8" s="25">
        <f>+F8+E8+D8+C8</f>
        <v>81423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755442</v>
      </c>
      <c r="D12" s="17">
        <v>93389</v>
      </c>
      <c r="E12" s="17">
        <v>38107</v>
      </c>
      <c r="F12" s="17">
        <v>0</v>
      </c>
      <c r="G12" s="17">
        <f>SUM(C12:F12)</f>
        <v>886938</v>
      </c>
    </row>
    <row r="13" spans="1:7" x14ac:dyDescent="0.25">
      <c r="B13" s="16" t="s">
        <v>15</v>
      </c>
      <c r="C13" s="17">
        <v>2748444</v>
      </c>
      <c r="D13" s="17">
        <v>555399</v>
      </c>
      <c r="E13" s="17">
        <v>236029</v>
      </c>
      <c r="F13" s="17">
        <v>0</v>
      </c>
      <c r="G13" s="17">
        <f>SUM(C13:F13)</f>
        <v>3539872</v>
      </c>
    </row>
    <row r="14" spans="1:7" x14ac:dyDescent="0.25">
      <c r="B14" s="18" t="s">
        <v>16</v>
      </c>
      <c r="C14" s="19">
        <f>C13+C12</f>
        <v>3503886</v>
      </c>
      <c r="D14" s="19">
        <v>954018</v>
      </c>
      <c r="E14" s="19">
        <v>274136</v>
      </c>
      <c r="F14" s="19">
        <v>345188</v>
      </c>
      <c r="G14" s="19">
        <f>SUM(C14:F14)</f>
        <v>5077228</v>
      </c>
    </row>
    <row r="15" spans="1:7" x14ac:dyDescent="0.25">
      <c r="B15" s="18" t="s">
        <v>17</v>
      </c>
      <c r="C15" s="19">
        <v>552710</v>
      </c>
      <c r="D15" s="19">
        <v>193908</v>
      </c>
      <c r="E15" s="19">
        <v>3468</v>
      </c>
      <c r="F15" s="19">
        <v>159550</v>
      </c>
      <c r="G15" s="19">
        <f>SUM(C15:F15)</f>
        <v>909636</v>
      </c>
    </row>
    <row r="16" spans="1:7" x14ac:dyDescent="0.25">
      <c r="B16" s="18" t="s">
        <v>18</v>
      </c>
      <c r="C16" s="19">
        <f>C15+C14</f>
        <v>4056596</v>
      </c>
      <c r="D16" s="19">
        <v>1147926</v>
      </c>
      <c r="E16" s="19">
        <v>277604</v>
      </c>
      <c r="F16" s="19">
        <v>504738</v>
      </c>
      <c r="G16" s="19">
        <f>SUM(C16:F16)</f>
        <v>5986864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3449</v>
      </c>
      <c r="D19" s="27">
        <v>3</v>
      </c>
      <c r="E19" s="27">
        <v>0</v>
      </c>
      <c r="F19" s="27">
        <v>0</v>
      </c>
      <c r="G19" s="27">
        <f>SUM(C19:F19)</f>
        <v>3452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4060045</v>
      </c>
      <c r="D21" s="19">
        <v>1147929</v>
      </c>
      <c r="E21" s="19">
        <v>277604</v>
      </c>
      <c r="F21" s="19">
        <f>F16</f>
        <v>504738</v>
      </c>
      <c r="G21" s="19">
        <f>SUM(C21:F21)</f>
        <v>5990316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405328</v>
      </c>
      <c r="D24" s="19">
        <v>215262</v>
      </c>
      <c r="E24" s="19">
        <v>165421</v>
      </c>
      <c r="F24" s="19">
        <v>691627</v>
      </c>
      <c r="G24" s="19">
        <f>SUM(C24:F24)</f>
        <v>1477638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4465373</v>
      </c>
      <c r="D27" s="19">
        <f>+D24+D21</f>
        <v>1363191</v>
      </c>
      <c r="E27" s="19">
        <f>+E24+E21</f>
        <v>443025</v>
      </c>
      <c r="F27" s="19">
        <f>+F24+F21</f>
        <v>1196365</v>
      </c>
      <c r="G27" s="19">
        <f>SUM(C27:F27)</f>
        <v>7467954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1225830</v>
      </c>
      <c r="D30" s="27">
        <v>136793</v>
      </c>
      <c r="E30" s="27">
        <v>70425</v>
      </c>
      <c r="F30" s="27">
        <v>187300</v>
      </c>
      <c r="G30" s="27">
        <f>SUM(C30:F30)</f>
        <v>1620348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4486464996482</v>
      </c>
      <c r="D33" s="27">
        <v>688433833454</v>
      </c>
      <c r="E33" s="27">
        <v>280797677231</v>
      </c>
      <c r="F33" s="27">
        <v>503749736314</v>
      </c>
      <c r="G33" s="27">
        <f>SUM(C33:F33)</f>
        <v>5959446243481</v>
      </c>
    </row>
    <row r="34" spans="2:9" x14ac:dyDescent="0.25">
      <c r="B34" s="14" t="s">
        <v>30</v>
      </c>
      <c r="C34" s="27">
        <v>185458710624</v>
      </c>
      <c r="D34" s="27">
        <v>77430015244</v>
      </c>
      <c r="E34" s="27">
        <v>53497960800</v>
      </c>
      <c r="F34" s="27">
        <v>219048317362</v>
      </c>
      <c r="G34" s="27">
        <f>SUM(C34:F34)</f>
        <v>535435004030</v>
      </c>
    </row>
    <row r="35" spans="2:9" x14ac:dyDescent="0.25">
      <c r="B35" s="39" t="s">
        <v>31</v>
      </c>
      <c r="C35" s="40">
        <f>SUM(C33:C34)</f>
        <v>4671923707106</v>
      </c>
      <c r="D35" s="40">
        <f>+D34+D33</f>
        <v>765863848698</v>
      </c>
      <c r="E35" s="40">
        <v>334295638031</v>
      </c>
      <c r="F35" s="40">
        <v>722798053676</v>
      </c>
      <c r="G35" s="40">
        <f>SUM(C35:F35)</f>
        <v>6494881247511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666648</v>
      </c>
      <c r="D40" s="27">
        <v>111879</v>
      </c>
      <c r="E40" s="27">
        <v>46308</v>
      </c>
      <c r="F40" s="27">
        <v>66577</v>
      </c>
      <c r="G40" s="27">
        <f>SUM(C40:F40)</f>
        <v>891412</v>
      </c>
      <c r="H40" s="7"/>
      <c r="I40" s="7"/>
    </row>
    <row r="41" spans="2:9" x14ac:dyDescent="0.25">
      <c r="B41" s="14" t="s">
        <v>36</v>
      </c>
      <c r="C41" s="27">
        <f>4683283730/1000000</f>
        <v>4683.2837300000001</v>
      </c>
      <c r="D41" s="27">
        <v>1276.2567280000001</v>
      </c>
      <c r="E41" s="27">
        <v>499.6</v>
      </c>
      <c r="F41" s="27">
        <v>685.88621799999999</v>
      </c>
      <c r="G41" s="11">
        <f>SUM(C41:F41)</f>
        <v>7145.0266760000004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7</v>
      </c>
      <c r="D44" s="27">
        <v>11</v>
      </c>
      <c r="E44" s="27"/>
      <c r="F44" s="27">
        <v>1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27">
        <f>5003134/1000000</f>
        <v>5.0031340000000002</v>
      </c>
      <c r="D45" s="27">
        <v>0.14449000000000001</v>
      </c>
      <c r="E45" s="27"/>
      <c r="F45" s="27">
        <v>0.121561</v>
      </c>
      <c r="G45" s="11">
        <f>SUM(C45:F45)</f>
        <v>5.2691850000000002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148322</v>
      </c>
      <c r="D48" s="27">
        <v>67470</v>
      </c>
      <c r="E48" s="27">
        <v>11819</v>
      </c>
      <c r="F48" s="27">
        <v>51937</v>
      </c>
      <c r="G48" s="27">
        <f>SUM(C48:F48)</f>
        <v>279548</v>
      </c>
      <c r="H48" s="7"/>
      <c r="I48" s="7"/>
    </row>
    <row r="49" spans="2:9" x14ac:dyDescent="0.25">
      <c r="B49" s="14" t="s">
        <v>42</v>
      </c>
      <c r="C49" s="27">
        <f>(91562088466+1783832563)/1000000</f>
        <v>93345.921029000005</v>
      </c>
      <c r="D49" s="27">
        <v>28271</v>
      </c>
      <c r="E49" s="27">
        <v>11066.337172</v>
      </c>
      <c r="F49" s="27">
        <v>11748.671517999999</v>
      </c>
      <c r="G49" s="11">
        <f>SUM(C49:F49)</f>
        <v>144431.92971899998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96442</v>
      </c>
      <c r="D55" s="27">
        <v>5047</v>
      </c>
      <c r="E55" s="27">
        <v>1079</v>
      </c>
      <c r="F55" s="27">
        <v>3463</v>
      </c>
      <c r="G55" s="27">
        <f t="shared" ref="G55:G71" si="0">SUM(C55:F55)</f>
        <v>106031</v>
      </c>
    </row>
    <row r="56" spans="2:9" x14ac:dyDescent="0.25">
      <c r="B56" s="14" t="s">
        <v>47</v>
      </c>
      <c r="C56" s="27">
        <v>69945.321664999996</v>
      </c>
      <c r="D56" s="27">
        <v>8115.6809010000097</v>
      </c>
      <c r="E56" s="27">
        <v>1766.6417919999999</v>
      </c>
      <c r="F56" s="27">
        <v>5034</v>
      </c>
      <c r="G56" s="27">
        <f t="shared" si="0"/>
        <v>84861.644358000005</v>
      </c>
    </row>
    <row r="57" spans="2:9" x14ac:dyDescent="0.25">
      <c r="B57" s="14" t="s">
        <v>48</v>
      </c>
      <c r="C57" s="27">
        <v>12.977406109371399</v>
      </c>
      <c r="D57" s="27">
        <v>39</v>
      </c>
      <c r="E57" s="27">
        <v>21.732159406858202</v>
      </c>
      <c r="F57" s="27">
        <v>20</v>
      </c>
      <c r="G57" s="27">
        <f>AVERAGE(C57:F57)</f>
        <v>23.427391379057401</v>
      </c>
    </row>
    <row r="58" spans="2:9" x14ac:dyDescent="0.25">
      <c r="B58" s="14" t="s">
        <v>49</v>
      </c>
      <c r="C58" s="27">
        <v>977607</v>
      </c>
      <c r="D58" s="27">
        <v>161475</v>
      </c>
      <c r="E58" s="27">
        <v>52468</v>
      </c>
      <c r="F58" s="27">
        <v>85475</v>
      </c>
      <c r="G58" s="27">
        <f t="shared" si="0"/>
        <v>1277025</v>
      </c>
    </row>
    <row r="59" spans="2:9" x14ac:dyDescent="0.25">
      <c r="B59" s="14" t="s">
        <v>50</v>
      </c>
      <c r="C59" s="27">
        <v>2167318.939553</v>
      </c>
      <c r="D59" s="27">
        <v>306712.51895599999</v>
      </c>
      <c r="E59" s="27">
        <v>112115.489392</v>
      </c>
      <c r="F59" s="27">
        <v>207638</v>
      </c>
      <c r="G59" s="11">
        <f t="shared" si="0"/>
        <v>2793784.9479009998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3860</v>
      </c>
      <c r="D67" s="27">
        <v>1516</v>
      </c>
      <c r="E67" s="27">
        <v>1900</v>
      </c>
      <c r="F67" s="27">
        <v>5565</v>
      </c>
      <c r="G67" s="27">
        <f t="shared" si="0"/>
        <v>12841</v>
      </c>
    </row>
    <row r="68" spans="2:8" x14ac:dyDescent="0.25">
      <c r="B68" s="14" t="s">
        <v>47</v>
      </c>
      <c r="C68" s="27">
        <v>3694.2587400000002</v>
      </c>
      <c r="D68" s="27">
        <v>1544.9404980000099</v>
      </c>
      <c r="E68" s="27">
        <v>2371.1479989999998</v>
      </c>
      <c r="F68" s="27">
        <v>5379</v>
      </c>
      <c r="G68" s="27">
        <f t="shared" si="0"/>
        <v>12989.347237000009</v>
      </c>
    </row>
    <row r="69" spans="2:8" x14ac:dyDescent="0.25">
      <c r="B69" s="14" t="s">
        <v>48</v>
      </c>
      <c r="C69" s="27">
        <v>33.4502590673575</v>
      </c>
      <c r="D69" s="27">
        <v>54</v>
      </c>
      <c r="E69" s="27">
        <v>52.286842105263155</v>
      </c>
      <c r="F69" s="27">
        <v>39</v>
      </c>
      <c r="G69" s="27">
        <f>AVERAGE(C69:F69)</f>
        <v>44.684275293155167</v>
      </c>
    </row>
    <row r="70" spans="2:8" x14ac:dyDescent="0.25">
      <c r="B70" s="14" t="s">
        <v>49</v>
      </c>
      <c r="C70" s="27">
        <v>141990</v>
      </c>
      <c r="D70" s="27">
        <v>92008</v>
      </c>
      <c r="E70" s="27">
        <v>82656</v>
      </c>
      <c r="F70" s="27">
        <v>281571</v>
      </c>
      <c r="G70" s="27">
        <f t="shared" si="0"/>
        <v>598225</v>
      </c>
    </row>
    <row r="71" spans="2:8" x14ac:dyDescent="0.25">
      <c r="B71" s="14" t="s">
        <v>50</v>
      </c>
      <c r="C71" s="27">
        <v>159756.67928400001</v>
      </c>
      <c r="D71" s="27">
        <v>113210.19647</v>
      </c>
      <c r="E71" s="27">
        <v>94460.774644999998</v>
      </c>
      <c r="F71" s="27">
        <v>288114</v>
      </c>
      <c r="G71" s="11">
        <f t="shared" si="0"/>
        <v>655541.65039900003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100302</v>
      </c>
      <c r="D73" s="19">
        <f>+D67+D61+D55</f>
        <v>6563</v>
      </c>
      <c r="E73" s="19">
        <f>+E67+E61+E55</f>
        <v>2979</v>
      </c>
      <c r="F73" s="19">
        <f t="shared" ref="F73:F74" si="1">+F55+F67</f>
        <v>9028</v>
      </c>
      <c r="G73" s="19">
        <f>SUM(C73:F73)</f>
        <v>118872</v>
      </c>
    </row>
    <row r="74" spans="2:8" x14ac:dyDescent="0.25">
      <c r="B74" s="18" t="s">
        <v>47</v>
      </c>
      <c r="C74" s="19">
        <f>+C56+C68</f>
        <v>73639.580405000001</v>
      </c>
      <c r="D74" s="19">
        <f>+D68+D62+D56</f>
        <v>9660.6213990000197</v>
      </c>
      <c r="E74" s="19">
        <f>+E68+E62+E56</f>
        <v>4137.7897909999992</v>
      </c>
      <c r="F74" s="19">
        <f t="shared" si="1"/>
        <v>10413</v>
      </c>
      <c r="G74" s="22">
        <f>SUM(C74:F74)</f>
        <v>97850.991595000029</v>
      </c>
    </row>
    <row r="75" spans="2:8" x14ac:dyDescent="0.25">
      <c r="B75" s="18" t="s">
        <v>48</v>
      </c>
      <c r="C75" s="19"/>
      <c r="D75" s="19">
        <v>31</v>
      </c>
      <c r="E75" s="19">
        <v>41</v>
      </c>
      <c r="F75" s="19">
        <f>(F57+F69)/2</f>
        <v>29.5</v>
      </c>
      <c r="G75" s="19">
        <f>AVERAGE(C75:F75)</f>
        <v>33.833333333333336</v>
      </c>
    </row>
    <row r="76" spans="2:8" x14ac:dyDescent="0.25">
      <c r="B76" s="18" t="s">
        <v>49</v>
      </c>
      <c r="C76" s="19">
        <f>+C58+C70</f>
        <v>1119597</v>
      </c>
      <c r="D76" s="19">
        <f t="shared" ref="D76:E76" si="2">+D70+D64+D58</f>
        <v>253483</v>
      </c>
      <c r="E76" s="19">
        <f t="shared" si="2"/>
        <v>135124</v>
      </c>
      <c r="F76" s="19">
        <f t="shared" ref="F76:F77" si="3">+F58+F70</f>
        <v>367046</v>
      </c>
      <c r="G76" s="19">
        <f>SUM(C76:F76)</f>
        <v>1875250</v>
      </c>
    </row>
    <row r="77" spans="2:8" x14ac:dyDescent="0.25">
      <c r="B77" s="18" t="s">
        <v>50</v>
      </c>
      <c r="C77" s="19">
        <f>+C59+C71</f>
        <v>2327075.6188369999</v>
      </c>
      <c r="D77" s="19">
        <f>+D71+D65+D59</f>
        <v>419922.71542599995</v>
      </c>
      <c r="E77" s="19">
        <f>+E71+E65+E59</f>
        <v>206576.26403700002</v>
      </c>
      <c r="F77" s="19">
        <f t="shared" si="3"/>
        <v>495752</v>
      </c>
      <c r="G77" s="22">
        <f>SUM(C77:F77)</f>
        <v>3449326.5982999997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965</v>
      </c>
      <c r="D84" s="24">
        <v>109</v>
      </c>
      <c r="E84" s="24">
        <v>5</v>
      </c>
      <c r="F84" s="24">
        <v>89</v>
      </c>
      <c r="G84" s="24">
        <f>SUM(C84:F84)</f>
        <v>1168</v>
      </c>
    </row>
    <row r="85" spans="2:7" x14ac:dyDescent="0.25">
      <c r="B85" s="14" t="s">
        <v>50</v>
      </c>
      <c r="C85" s="24">
        <v>20777.720710000001</v>
      </c>
      <c r="D85" s="24">
        <v>1382</v>
      </c>
      <c r="E85" s="24">
        <v>61</v>
      </c>
      <c r="F85" s="24">
        <v>1654.410318</v>
      </c>
      <c r="G85" s="11">
        <f>SUM(C85:F85)</f>
        <v>23875.131028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167.46673999999999</v>
      </c>
      <c r="D97" s="27">
        <v>0</v>
      </c>
      <c r="E97" s="27">
        <v>0</v>
      </c>
      <c r="F97" s="27">
        <v>74.026141999999993</v>
      </c>
      <c r="G97" s="11">
        <f>SUM(C97:F97)</f>
        <v>241.49288199999998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975</v>
      </c>
      <c r="D102" s="19">
        <f t="shared" ref="D102:D103" si="4">+D96+D90+D84</f>
        <v>109</v>
      </c>
      <c r="E102" s="19">
        <f>+E84</f>
        <v>5</v>
      </c>
      <c r="F102" s="19">
        <f>+F96+F84</f>
        <v>95</v>
      </c>
      <c r="G102" s="19">
        <f>SUM(C102:F102)</f>
        <v>1184</v>
      </c>
    </row>
    <row r="103" spans="2:8" x14ac:dyDescent="0.25">
      <c r="B103" s="18" t="s">
        <v>50</v>
      </c>
      <c r="C103" s="19">
        <f>+C97+C85</f>
        <v>20945.187450000001</v>
      </c>
      <c r="D103" s="19">
        <f t="shared" si="4"/>
        <v>1382</v>
      </c>
      <c r="E103" s="19">
        <f>+E85</f>
        <v>61</v>
      </c>
      <c r="F103" s="19">
        <f>+F85+F97</f>
        <v>1728.4364599999999</v>
      </c>
      <c r="G103" s="22">
        <f>SUM(C103:F103)</f>
        <v>24116.623910000002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2.8299003275049239</v>
      </c>
      <c r="D107" s="13">
        <v>2.5499999999999998</v>
      </c>
      <c r="E107" s="63">
        <v>2.8103624733475483</v>
      </c>
      <c r="F107" s="13">
        <v>2.54</v>
      </c>
      <c r="G107" s="13">
        <f>AVERAGE(C107:F107)</f>
        <v>2.682565700213118</v>
      </c>
    </row>
    <row r="108" spans="2:8" x14ac:dyDescent="0.25">
      <c r="B108" s="14" t="s">
        <v>60</v>
      </c>
      <c r="C108" s="13">
        <v>2.26866767634667</v>
      </c>
      <c r="D108" s="13">
        <v>2.59</v>
      </c>
      <c r="E108" s="63">
        <v>2.6322988505747129</v>
      </c>
      <c r="F108" s="13">
        <v>2.58</v>
      </c>
      <c r="G108" s="13">
        <f>AVERAGE(C108:F108)</f>
        <v>2.5177416317303458</v>
      </c>
    </row>
    <row r="109" spans="2:8" x14ac:dyDescent="0.25">
      <c r="B109" s="14" t="s">
        <v>61</v>
      </c>
      <c r="C109" s="13">
        <v>2.1528637374740001</v>
      </c>
      <c r="D109" s="13">
        <v>2.59</v>
      </c>
      <c r="E109" s="63">
        <v>2.6051333333333333</v>
      </c>
      <c r="F109" s="13">
        <v>2.58</v>
      </c>
      <c r="G109" s="13">
        <f>AVERAGE(C109:F109)</f>
        <v>2.4819992677018332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1.5499999999999994</v>
      </c>
      <c r="D111" s="13">
        <v>1.95</v>
      </c>
      <c r="E111" s="63">
        <v>1.9</v>
      </c>
      <c r="F111" s="13">
        <v>1.8</v>
      </c>
      <c r="G111" s="13">
        <f>AVERAGE(C111:F111)</f>
        <v>1.7999999999999996</v>
      </c>
    </row>
    <row r="112" spans="2:8" x14ac:dyDescent="0.25">
      <c r="B112" s="14" t="s">
        <v>60</v>
      </c>
      <c r="C112" s="13">
        <v>1.5500000000000071</v>
      </c>
      <c r="D112" s="13">
        <v>2.13</v>
      </c>
      <c r="E112" s="63">
        <v>2.12</v>
      </c>
      <c r="F112" s="33">
        <v>2.12</v>
      </c>
      <c r="G112" s="13">
        <f>AVERAGE(C112:F112)</f>
        <v>1.9800000000000018</v>
      </c>
    </row>
    <row r="113" spans="2:9" x14ac:dyDescent="0.25">
      <c r="B113" s="14" t="s">
        <v>61</v>
      </c>
      <c r="C113" s="13">
        <v>1.8783016584491532</v>
      </c>
      <c r="D113" s="13">
        <v>2.13</v>
      </c>
      <c r="E113" s="63">
        <v>2.13</v>
      </c>
      <c r="F113" s="33">
        <v>2.12</v>
      </c>
      <c r="G113" s="13">
        <f>AVERAGE(C113:F113)</f>
        <v>2.0645754146122881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1.4595518880695382</v>
      </c>
      <c r="D116" s="13">
        <v>1.79</v>
      </c>
      <c r="E116" s="63">
        <v>1.8073584905660376</v>
      </c>
      <c r="F116" s="13">
        <v>1.78</v>
      </c>
      <c r="G116" s="13">
        <f>AVERAGE(C116:F116)</f>
        <v>1.709227594658894</v>
      </c>
    </row>
    <row r="117" spans="2:9" x14ac:dyDescent="0.25">
      <c r="B117" s="14" t="s">
        <v>60</v>
      </c>
      <c r="C117" s="13">
        <v>1.7566886909598645</v>
      </c>
      <c r="D117" s="13">
        <v>1.79</v>
      </c>
      <c r="E117" s="63">
        <v>1.8049494949494951</v>
      </c>
      <c r="F117" s="13">
        <v>1.78</v>
      </c>
      <c r="G117" s="13">
        <f>AVERAGE(C117:F117)</f>
        <v>1.7829095464773399</v>
      </c>
    </row>
    <row r="118" spans="2:9" x14ac:dyDescent="0.25">
      <c r="B118" s="14" t="s">
        <v>61</v>
      </c>
      <c r="C118" s="13">
        <v>1.6835381736527044</v>
      </c>
      <c r="D118" s="13">
        <v>1.74</v>
      </c>
      <c r="E118" s="63">
        <v>1.7769298245614036</v>
      </c>
      <c r="F118" s="13">
        <v>1.74</v>
      </c>
      <c r="G118" s="13">
        <f>AVERAGE(C118:F118)</f>
        <v>1.7351169995535272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6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63">
        <v>1.43</v>
      </c>
      <c r="F121" s="13">
        <v>1.4284482758620689</v>
      </c>
      <c r="G121" s="13">
        <f>AVERAGE(C121:F121)</f>
        <v>1.4071120689655172</v>
      </c>
    </row>
    <row r="122" spans="2:9" x14ac:dyDescent="0.25">
      <c r="B122" s="14" t="s">
        <v>61</v>
      </c>
      <c r="C122" s="13">
        <v>1.4284482758620689</v>
      </c>
      <c r="D122" s="13">
        <v>1.43</v>
      </c>
      <c r="E122" s="63">
        <v>1.5295714285714286</v>
      </c>
      <c r="F122" s="13">
        <v>1.4284482758620689</v>
      </c>
      <c r="G122" s="13">
        <f>AVERAGE(C122:F122)</f>
        <v>1.4541169950738915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61">
        <v>2.02</v>
      </c>
      <c r="D127" s="37">
        <v>2.1277240000000002</v>
      </c>
      <c r="E127" s="61">
        <v>2.1964273683756175</v>
      </c>
      <c r="F127" s="11">
        <v>0</v>
      </c>
      <c r="G127" s="11">
        <f>AVERAGE(C127:E127)</f>
        <v>2.1147171227918728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249006</v>
      </c>
      <c r="D130" s="27">
        <v>3447</v>
      </c>
      <c r="E130" s="27">
        <v>6096</v>
      </c>
      <c r="F130" s="27">
        <v>761</v>
      </c>
      <c r="G130" s="27">
        <f>SUM(C130:F130)</f>
        <v>259310</v>
      </c>
    </row>
    <row r="131" spans="2:9" x14ac:dyDescent="0.25">
      <c r="B131" s="14" t="s">
        <v>71</v>
      </c>
      <c r="C131" s="27">
        <v>160554.128562</v>
      </c>
      <c r="D131" s="27">
        <v>3807</v>
      </c>
      <c r="E131" s="27">
        <v>945122</v>
      </c>
      <c r="F131" s="27">
        <v>787.95530499999995</v>
      </c>
      <c r="G131" s="11">
        <f>SUM(C131:F131)</f>
        <v>1110271.0838670002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843465</v>
      </c>
      <c r="D134" s="27">
        <v>406095</v>
      </c>
      <c r="E134" s="27">
        <v>157413</v>
      </c>
      <c r="F134" s="27">
        <v>374790</v>
      </c>
      <c r="G134" s="27">
        <f>SUM(C134:F134)</f>
        <v>1781763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14639</v>
      </c>
      <c r="G138" s="27">
        <f>SUM(C138:F138)</f>
        <v>14639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182</v>
      </c>
      <c r="G139" s="27">
        <f>SUM(C139:F139)</f>
        <v>182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2377</v>
      </c>
      <c r="E146" s="27">
        <v>0</v>
      </c>
      <c r="F146" s="24">
        <v>1418</v>
      </c>
      <c r="G146" s="27">
        <f>SUM(C146:F146)</f>
        <v>3795</v>
      </c>
    </row>
    <row r="147" spans="2:8" x14ac:dyDescent="0.25">
      <c r="B147" s="14" t="s">
        <v>82</v>
      </c>
      <c r="C147" s="27">
        <v>0</v>
      </c>
      <c r="D147" s="27">
        <v>52.915999999999997</v>
      </c>
      <c r="E147" s="27">
        <v>0</v>
      </c>
      <c r="F147" s="24">
        <v>15.823499999999999</v>
      </c>
      <c r="G147" s="11">
        <f>SUM(C147:F147)</f>
        <v>68.739499999999992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6.6000000000000003E-2</v>
      </c>
      <c r="E151" s="27">
        <v>0</v>
      </c>
      <c r="F151" s="27">
        <v>0</v>
      </c>
      <c r="G151" s="11">
        <f>SUM(C151:F151)</f>
        <v>6.6000000000000003E-2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63</v>
      </c>
      <c r="E154" s="27">
        <v>7266</v>
      </c>
      <c r="F154" s="27">
        <v>0</v>
      </c>
      <c r="G154" s="27">
        <f>SUM(C154:F154)</f>
        <v>7329</v>
      </c>
      <c r="H154"/>
    </row>
    <row r="155" spans="2:8" x14ac:dyDescent="0.25">
      <c r="B155" s="14" t="s">
        <v>88</v>
      </c>
      <c r="C155" s="27">
        <v>0</v>
      </c>
      <c r="D155" s="27">
        <v>1.79</v>
      </c>
      <c r="E155" s="27">
        <v>169.45500000000001</v>
      </c>
      <c r="F155" s="27">
        <v>0</v>
      </c>
      <c r="G155" s="11">
        <f>SUM(C155:F155)</f>
        <v>171.245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2440</v>
      </c>
      <c r="E158" s="19">
        <v>7266</v>
      </c>
      <c r="F158" s="19">
        <f t="shared" ref="F158:F159" si="5">+F146+F154</f>
        <v>1418</v>
      </c>
      <c r="G158" s="19">
        <f>SUM(C158:F158)</f>
        <v>11124</v>
      </c>
    </row>
    <row r="159" spans="2:8" x14ac:dyDescent="0.25">
      <c r="B159" s="18" t="s">
        <v>91</v>
      </c>
      <c r="C159" s="19">
        <v>0</v>
      </c>
      <c r="D159" s="19">
        <f>D147+D151+D155</f>
        <v>54.771999999999998</v>
      </c>
      <c r="E159" s="19">
        <v>169.45500000000001</v>
      </c>
      <c r="F159" s="19">
        <f t="shared" si="5"/>
        <v>15.823499999999999</v>
      </c>
      <c r="G159" s="22">
        <f>SUM(C159:F159)</f>
        <v>240.0505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2884</v>
      </c>
      <c r="D162" s="27">
        <v>9595</v>
      </c>
      <c r="E162" s="27">
        <v>6295</v>
      </c>
      <c r="F162" s="27">
        <v>35019</v>
      </c>
      <c r="G162" s="27">
        <f>SUM(C162:F162)</f>
        <v>53793</v>
      </c>
    </row>
    <row r="163" spans="2:8" x14ac:dyDescent="0.25">
      <c r="B163" s="14" t="s">
        <v>88</v>
      </c>
      <c r="C163" s="27">
        <f>68303699/1000000</f>
        <v>68.303698999999995</v>
      </c>
      <c r="D163" s="27">
        <v>44.537993</v>
      </c>
      <c r="E163" s="27">
        <v>111.893456</v>
      </c>
      <c r="F163" s="27">
        <v>227.77909600000001</v>
      </c>
      <c r="G163" s="11">
        <f>SUM(C163:F163)</f>
        <v>452.51424399999996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915</v>
      </c>
      <c r="D167" s="27">
        <v>2388</v>
      </c>
      <c r="E167" s="27">
        <v>78</v>
      </c>
      <c r="F167" s="27">
        <v>552</v>
      </c>
      <c r="G167" s="27">
        <f>SUM(C167:F167)</f>
        <v>3933</v>
      </c>
    </row>
    <row r="168" spans="2:8" x14ac:dyDescent="0.25">
      <c r="B168" s="14" t="s">
        <v>96</v>
      </c>
      <c r="C168" s="27">
        <f>32025000/1000000</f>
        <v>32.024999999999999</v>
      </c>
      <c r="D168" s="27">
        <v>52.715000000000003</v>
      </c>
      <c r="E168" s="27">
        <v>2.6</v>
      </c>
      <c r="F168" s="27">
        <v>21.13</v>
      </c>
      <c r="G168" s="11">
        <f>SUM(C168:F168)</f>
        <v>108.47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1877</v>
      </c>
      <c r="D171" s="27">
        <v>243</v>
      </c>
      <c r="E171" s="27">
        <v>90</v>
      </c>
      <c r="F171" s="27">
        <v>387</v>
      </c>
      <c r="G171" s="27">
        <f>SUM(C171:F171)</f>
        <v>2597</v>
      </c>
    </row>
    <row r="172" spans="2:8" x14ac:dyDescent="0.25">
      <c r="B172" s="14" t="s">
        <v>96</v>
      </c>
      <c r="C172" s="27">
        <f>65695000/1000000</f>
        <v>65.694999999999993</v>
      </c>
      <c r="D172" s="27">
        <v>5.101</v>
      </c>
      <c r="E172" s="27">
        <v>2.2999999999999998</v>
      </c>
      <c r="F172" s="27">
        <v>9.5690000000000008</v>
      </c>
      <c r="G172" s="11">
        <f>SUM(C172:F172)</f>
        <v>82.664999999999992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268</v>
      </c>
      <c r="D175" s="27">
        <v>329</v>
      </c>
      <c r="E175" s="27">
        <v>172</v>
      </c>
      <c r="F175" s="27">
        <v>51</v>
      </c>
      <c r="G175" s="27">
        <f>SUM(C175:F175)</f>
        <v>820</v>
      </c>
    </row>
    <row r="176" spans="2:8" x14ac:dyDescent="0.25">
      <c r="B176" s="14" t="s">
        <v>96</v>
      </c>
      <c r="C176" s="27">
        <f>28060000/1000000</f>
        <v>28.06</v>
      </c>
      <c r="D176" s="27">
        <v>34.33</v>
      </c>
      <c r="E176" s="27">
        <v>9.67</v>
      </c>
      <c r="F176" s="27">
        <v>5.4249999999999998</v>
      </c>
      <c r="G176" s="11">
        <f>SUM(C176:F176)</f>
        <v>77.484999999999999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396</v>
      </c>
      <c r="D179" s="27">
        <v>39</v>
      </c>
      <c r="E179" s="27">
        <v>0</v>
      </c>
      <c r="F179" s="27">
        <v>0</v>
      </c>
      <c r="G179" s="27">
        <f>SUM(C179:F179)</f>
        <v>435</v>
      </c>
    </row>
    <row r="180" spans="2:8" x14ac:dyDescent="0.25">
      <c r="B180" s="14" t="s">
        <v>96</v>
      </c>
      <c r="C180" s="27">
        <f>16135000/1000000</f>
        <v>16.135000000000002</v>
      </c>
      <c r="D180" s="27">
        <v>3.8465099999999999</v>
      </c>
      <c r="E180" s="27">
        <v>0</v>
      </c>
      <c r="F180" s="27">
        <v>0</v>
      </c>
      <c r="G180" s="11">
        <f>SUM(C180:F180)</f>
        <v>19.98151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3456</v>
      </c>
      <c r="D183" s="19">
        <f>D167+D171+D175+D179</f>
        <v>2999</v>
      </c>
      <c r="E183" s="19">
        <v>340</v>
      </c>
      <c r="F183" s="19">
        <f>+F179+F175+F171+F167</f>
        <v>990</v>
      </c>
      <c r="G183" s="19">
        <f>SUM(C183:F183)</f>
        <v>7785</v>
      </c>
    </row>
    <row r="184" spans="2:8" x14ac:dyDescent="0.25">
      <c r="B184" s="18" t="s">
        <v>103</v>
      </c>
      <c r="C184" s="19">
        <f>+C180+C176+C172+C168</f>
        <v>141.91499999999999</v>
      </c>
      <c r="D184" s="19">
        <f>D168+D172+D176+D180</f>
        <v>95.992509999999996</v>
      </c>
      <c r="E184" s="19">
        <v>14.57</v>
      </c>
      <c r="F184" s="19">
        <f>+F180+F176+F172+F168</f>
        <v>36.123999999999995</v>
      </c>
      <c r="G184" s="22">
        <f>SUM(C184:F184)</f>
        <v>288.60150999999996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2943</v>
      </c>
      <c r="D187" s="27">
        <v>0</v>
      </c>
      <c r="E187" s="27">
        <v>66</v>
      </c>
      <c r="F187" s="27">
        <v>37427</v>
      </c>
      <c r="G187" s="27">
        <f>SUM(C187:F187)</f>
        <v>40436</v>
      </c>
    </row>
    <row r="188" spans="2:8" x14ac:dyDescent="0.25">
      <c r="B188" s="14" t="s">
        <v>106</v>
      </c>
      <c r="C188" s="27">
        <f>30913580/1000000</f>
        <v>30.91358</v>
      </c>
      <c r="D188" s="27">
        <v>0</v>
      </c>
      <c r="E188" s="27">
        <v>2.6</v>
      </c>
      <c r="F188" s="27">
        <v>279.72659600000003</v>
      </c>
      <c r="G188" s="11">
        <f>SUM(C188:F188)</f>
        <v>313.24017600000002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9283</v>
      </c>
      <c r="D191" s="19">
        <f>+D187+D183+D162+D158</f>
        <v>15034</v>
      </c>
      <c r="E191" s="19">
        <v>6701</v>
      </c>
      <c r="F191" s="19">
        <f>F158+F162+F183+F187</f>
        <v>74854</v>
      </c>
      <c r="G191" s="19">
        <f>SUM(C191:F191)</f>
        <v>105872</v>
      </c>
    </row>
    <row r="192" spans="2:8" x14ac:dyDescent="0.25">
      <c r="B192" s="18" t="s">
        <v>109</v>
      </c>
      <c r="C192" s="19">
        <f>C188+C163+C184</f>
        <v>241.13227899999998</v>
      </c>
      <c r="D192" s="19">
        <f>+D188+D184+D163+D159</f>
        <v>195.302503</v>
      </c>
      <c r="E192" s="19">
        <v>129.063456</v>
      </c>
      <c r="F192" s="19">
        <f>F159+F184+F163+F188</f>
        <v>559.45319199999994</v>
      </c>
      <c r="G192" s="22">
        <f>SUM(C192:F192)</f>
        <v>1124.9514300000001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0FB3-B662-4B85-802A-E545B15CB2EB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54865</v>
      </c>
      <c r="D6" s="12">
        <v>8222</v>
      </c>
      <c r="E6" s="12">
        <v>7800</v>
      </c>
      <c r="F6" s="12">
        <v>9525</v>
      </c>
      <c r="G6" s="12">
        <f>+F6+E6+D6+C6</f>
        <v>80412</v>
      </c>
    </row>
    <row r="7" spans="1:7" x14ac:dyDescent="0.25">
      <c r="B7" s="14" t="s">
        <v>10</v>
      </c>
      <c r="C7" s="12">
        <v>555</v>
      </c>
      <c r="D7" s="12">
        <v>272</v>
      </c>
      <c r="E7" s="12">
        <v>23</v>
      </c>
      <c r="F7" s="12">
        <v>138</v>
      </c>
      <c r="G7" s="12">
        <f>+F7+E7+D7+C7</f>
        <v>988</v>
      </c>
    </row>
    <row r="8" spans="1:7" x14ac:dyDescent="0.25">
      <c r="B8" s="18" t="s">
        <v>11</v>
      </c>
      <c r="C8" s="25">
        <f>SUM(C6:C7)</f>
        <v>55420</v>
      </c>
      <c r="D8" s="25">
        <f>+D6+D7</f>
        <v>8494</v>
      </c>
      <c r="E8" s="25">
        <v>7823</v>
      </c>
      <c r="F8" s="25">
        <v>9663</v>
      </c>
      <c r="G8" s="25">
        <f>+F8+E8+D8+C8</f>
        <v>81400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751340</v>
      </c>
      <c r="D12" s="17">
        <v>93192</v>
      </c>
      <c r="E12" s="17">
        <v>37705</v>
      </c>
      <c r="F12" s="17">
        <v>0</v>
      </c>
      <c r="G12" s="17">
        <f>SUM(C12:F12)</f>
        <v>882237</v>
      </c>
    </row>
    <row r="13" spans="1:7" x14ac:dyDescent="0.25">
      <c r="B13" s="16" t="s">
        <v>15</v>
      </c>
      <c r="C13" s="17">
        <v>2728235</v>
      </c>
      <c r="D13" s="17">
        <v>554868</v>
      </c>
      <c r="E13" s="17">
        <v>233947</v>
      </c>
      <c r="F13" s="17">
        <v>0</v>
      </c>
      <c r="G13" s="17">
        <f>SUM(C13:F13)</f>
        <v>3517050</v>
      </c>
    </row>
    <row r="14" spans="1:7" x14ac:dyDescent="0.25">
      <c r="B14" s="18" t="s">
        <v>16</v>
      </c>
      <c r="C14" s="19">
        <f>C13+C12</f>
        <v>3479575</v>
      </c>
      <c r="D14" s="19">
        <v>960016</v>
      </c>
      <c r="E14" s="19">
        <v>271652</v>
      </c>
      <c r="F14" s="19">
        <v>343600</v>
      </c>
      <c r="G14" s="19">
        <f>SUM(C14:F14)</f>
        <v>5054843</v>
      </c>
    </row>
    <row r="15" spans="1:7" x14ac:dyDescent="0.25">
      <c r="B15" s="18" t="s">
        <v>17</v>
      </c>
      <c r="C15" s="19">
        <v>545333</v>
      </c>
      <c r="D15" s="19">
        <v>195424</v>
      </c>
      <c r="E15" s="19">
        <v>3473</v>
      </c>
      <c r="F15" s="19">
        <v>158127</v>
      </c>
      <c r="G15" s="19">
        <f>SUM(C15:F15)</f>
        <v>902357</v>
      </c>
    </row>
    <row r="16" spans="1:7" x14ac:dyDescent="0.25">
      <c r="B16" s="18" t="s">
        <v>18</v>
      </c>
      <c r="C16" s="19">
        <f>C15+C14</f>
        <v>4024908</v>
      </c>
      <c r="D16" s="19">
        <v>1155440</v>
      </c>
      <c r="E16" s="19">
        <v>275125</v>
      </c>
      <c r="F16" s="19">
        <v>501727</v>
      </c>
      <c r="G16" s="19">
        <f>SUM(C16:F16)</f>
        <v>5957200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3442</v>
      </c>
      <c r="D19" s="27">
        <v>3</v>
      </c>
      <c r="E19" s="27">
        <v>0</v>
      </c>
      <c r="F19" s="27">
        <v>0</v>
      </c>
      <c r="G19" s="27">
        <f>SUM(C19:F19)</f>
        <v>3445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4028350</v>
      </c>
      <c r="D21" s="19">
        <v>1155443</v>
      </c>
      <c r="E21" s="19">
        <v>275125</v>
      </c>
      <c r="F21" s="19">
        <f>F16</f>
        <v>501727</v>
      </c>
      <c r="G21" s="19">
        <f>SUM(C21:F21)</f>
        <v>5960645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406963</v>
      </c>
      <c r="D24" s="19">
        <v>217376</v>
      </c>
      <c r="E24" s="19">
        <v>167525</v>
      </c>
      <c r="F24" s="19">
        <v>691895</v>
      </c>
      <c r="G24" s="19">
        <f>SUM(C24:F24)</f>
        <v>1483759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4435313</v>
      </c>
      <c r="D27" s="19">
        <f>+D24+D21</f>
        <v>1372819</v>
      </c>
      <c r="E27" s="19">
        <f>+E24+E21</f>
        <v>442650</v>
      </c>
      <c r="F27" s="19">
        <f>+F24+F21</f>
        <v>1193622</v>
      </c>
      <c r="G27" s="19">
        <f>SUM(C27:F27)</f>
        <v>7444404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1229931</v>
      </c>
      <c r="D30" s="27">
        <v>123888</v>
      </c>
      <c r="E30" s="27">
        <v>69476</v>
      </c>
      <c r="F30" s="27">
        <v>185476</v>
      </c>
      <c r="G30" s="27">
        <f>SUM(C30:F30)</f>
        <v>1608771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4464880794102</v>
      </c>
      <c r="D33" s="27">
        <v>747421321496</v>
      </c>
      <c r="E33" s="27">
        <v>270808557810</v>
      </c>
      <c r="F33" s="27">
        <v>498228883629</v>
      </c>
      <c r="G33" s="27">
        <f>SUM(C33:F33)</f>
        <v>5981339557037</v>
      </c>
    </row>
    <row r="34" spans="2:9" x14ac:dyDescent="0.25">
      <c r="B34" s="14" t="s">
        <v>30</v>
      </c>
      <c r="C34" s="27">
        <v>186606105213</v>
      </c>
      <c r="D34" s="27">
        <v>78025054343</v>
      </c>
      <c r="E34" s="27">
        <v>54144467000</v>
      </c>
      <c r="F34" s="27">
        <v>219376536741</v>
      </c>
      <c r="G34" s="27">
        <f>SUM(C34:F34)</f>
        <v>538152163297</v>
      </c>
    </row>
    <row r="35" spans="2:9" x14ac:dyDescent="0.25">
      <c r="B35" s="39" t="s">
        <v>31</v>
      </c>
      <c r="C35" s="40">
        <f>SUM(C33:C34)</f>
        <v>4651486899315</v>
      </c>
      <c r="D35" s="40">
        <f>+D34+D33</f>
        <v>825446375839</v>
      </c>
      <c r="E35" s="40">
        <v>324953024810</v>
      </c>
      <c r="F35" s="40">
        <v>717605420370</v>
      </c>
      <c r="G35" s="40">
        <f>SUM(C35:F35)</f>
        <v>6519491720334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703776</v>
      </c>
      <c r="D40" s="27">
        <v>106962</v>
      </c>
      <c r="E40" s="27">
        <v>45732</v>
      </c>
      <c r="F40" s="27">
        <v>63745</v>
      </c>
      <c r="G40" s="27">
        <f>SUM(C40:F40)</f>
        <v>920215</v>
      </c>
      <c r="H40" s="7"/>
      <c r="I40" s="7"/>
    </row>
    <row r="41" spans="2:9" x14ac:dyDescent="0.25">
      <c r="B41" s="14" t="s">
        <v>36</v>
      </c>
      <c r="C41" s="27">
        <f>5759753012/1000000</f>
        <v>5759.7530120000001</v>
      </c>
      <c r="D41" s="27">
        <v>1269.973516</v>
      </c>
      <c r="E41" s="27">
        <v>492.9</v>
      </c>
      <c r="F41" s="27">
        <v>682.94254699999999</v>
      </c>
      <c r="G41" s="11">
        <f>SUM(C41:F41)</f>
        <v>8205.5690749999994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5</v>
      </c>
      <c r="D44" s="27">
        <v>4</v>
      </c>
      <c r="E44" s="27">
        <v>0</v>
      </c>
      <c r="F44" s="27">
        <v>2</v>
      </c>
      <c r="G44" s="27">
        <f>SUM(C44:F44)</f>
        <v>11</v>
      </c>
      <c r="H44" s="7"/>
      <c r="I44" s="7"/>
    </row>
    <row r="45" spans="2:9" x14ac:dyDescent="0.25">
      <c r="B45" s="14" t="s">
        <v>39</v>
      </c>
      <c r="C45" s="27">
        <f>4992890/1000000</f>
        <v>4.9928900000000001</v>
      </c>
      <c r="D45" s="27">
        <v>5.4905000000000002E-2</v>
      </c>
      <c r="E45" s="27">
        <v>0</v>
      </c>
      <c r="F45" s="27">
        <v>0.121561</v>
      </c>
      <c r="G45" s="11">
        <f>SUM(C45:F45)</f>
        <v>5.1693559999999996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188283</v>
      </c>
      <c r="D48" s="27">
        <v>65223</v>
      </c>
      <c r="E48" s="27">
        <v>9446</v>
      </c>
      <c r="F48" s="27">
        <v>49997</v>
      </c>
      <c r="G48" s="27">
        <f>SUM(C48:F48)</f>
        <v>312949</v>
      </c>
      <c r="H48" s="7"/>
      <c r="I48" s="7"/>
    </row>
    <row r="49" spans="2:9" x14ac:dyDescent="0.25">
      <c r="B49" s="14" t="s">
        <v>42</v>
      </c>
      <c r="C49" s="27">
        <f>(86702851850+1548995840)/1000000</f>
        <v>88251.847689999995</v>
      </c>
      <c r="D49" s="27">
        <v>26957</v>
      </c>
      <c r="E49" s="27">
        <v>9573.4695339999998</v>
      </c>
      <c r="F49" s="27">
        <v>10892.527853</v>
      </c>
      <c r="G49" s="11">
        <f>SUM(C49:F49)</f>
        <v>135674.84507700001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98729</v>
      </c>
      <c r="D55" s="27">
        <v>6498</v>
      </c>
      <c r="E55" s="27">
        <v>1277</v>
      </c>
      <c r="F55" s="27">
        <v>3744</v>
      </c>
      <c r="G55" s="27">
        <f t="shared" ref="G55:G71" si="0">SUM(C55:F55)</f>
        <v>110248</v>
      </c>
    </row>
    <row r="56" spans="2:9" x14ac:dyDescent="0.25">
      <c r="B56" s="14" t="s">
        <v>47</v>
      </c>
      <c r="C56" s="27">
        <v>79215.453173000002</v>
      </c>
      <c r="D56" s="27">
        <v>10444.2945150001</v>
      </c>
      <c r="E56" s="27">
        <v>2116.2423699999999</v>
      </c>
      <c r="F56" s="27">
        <v>5393</v>
      </c>
      <c r="G56" s="27">
        <f t="shared" si="0"/>
        <v>97168.990058000112</v>
      </c>
    </row>
    <row r="57" spans="2:9" x14ac:dyDescent="0.25">
      <c r="B57" s="14" t="s">
        <v>48</v>
      </c>
      <c r="C57" s="27">
        <v>13.814370650973901</v>
      </c>
      <c r="D57" s="27">
        <v>39</v>
      </c>
      <c r="E57" s="27">
        <v>21.39780736100235</v>
      </c>
      <c r="F57" s="27">
        <v>21</v>
      </c>
      <c r="G57" s="27">
        <f>AVERAGE(C57:F57)</f>
        <v>23.803044502994062</v>
      </c>
    </row>
    <row r="58" spans="2:9" x14ac:dyDescent="0.25">
      <c r="B58" s="14" t="s">
        <v>49</v>
      </c>
      <c r="C58" s="27">
        <v>987236</v>
      </c>
      <c r="D58" s="27">
        <v>163839</v>
      </c>
      <c r="E58" s="27">
        <v>52214</v>
      </c>
      <c r="F58" s="27">
        <v>86438</v>
      </c>
      <c r="G58" s="27">
        <f t="shared" si="0"/>
        <v>1289727</v>
      </c>
    </row>
    <row r="59" spans="2:9" x14ac:dyDescent="0.25">
      <c r="B59" s="14" t="s">
        <v>50</v>
      </c>
      <c r="C59" s="27">
        <v>2201760.9591489998</v>
      </c>
      <c r="D59" s="27">
        <v>312240.57860499999</v>
      </c>
      <c r="E59" s="27">
        <v>112354.307807</v>
      </c>
      <c r="F59" s="27">
        <v>209086</v>
      </c>
      <c r="G59" s="11">
        <f t="shared" si="0"/>
        <v>2835441.8455609996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4077</v>
      </c>
      <c r="D67" s="27">
        <v>1751</v>
      </c>
      <c r="E67" s="27">
        <v>2111</v>
      </c>
      <c r="F67" s="27">
        <v>5904</v>
      </c>
      <c r="G67" s="27">
        <f t="shared" si="0"/>
        <v>13843</v>
      </c>
    </row>
    <row r="68" spans="2:8" x14ac:dyDescent="0.25">
      <c r="B68" s="14" t="s">
        <v>47</v>
      </c>
      <c r="C68" s="27">
        <v>3572.5952259999999</v>
      </c>
      <c r="D68" s="27">
        <v>1775.2295810000101</v>
      </c>
      <c r="E68" s="27">
        <v>2887.832222</v>
      </c>
      <c r="F68" s="27">
        <v>5384</v>
      </c>
      <c r="G68" s="27">
        <f t="shared" si="0"/>
        <v>13619.657029000009</v>
      </c>
    </row>
    <row r="69" spans="2:8" x14ac:dyDescent="0.25">
      <c r="B69" s="14" t="s">
        <v>48</v>
      </c>
      <c r="C69" s="27">
        <v>32.287711552612201</v>
      </c>
      <c r="D69" s="27">
        <v>54</v>
      </c>
      <c r="E69" s="27">
        <v>52.010895310279487</v>
      </c>
      <c r="F69" s="27">
        <v>39</v>
      </c>
      <c r="G69" s="27">
        <f>AVERAGE(C69:F69)</f>
        <v>44.324651715722922</v>
      </c>
    </row>
    <row r="70" spans="2:8" x14ac:dyDescent="0.25">
      <c r="B70" s="14" t="s">
        <v>49</v>
      </c>
      <c r="C70" s="27">
        <v>141941</v>
      </c>
      <c r="D70" s="27">
        <v>92575</v>
      </c>
      <c r="E70" s="27">
        <v>83986</v>
      </c>
      <c r="F70" s="27">
        <v>281897</v>
      </c>
      <c r="G70" s="27">
        <f t="shared" si="0"/>
        <v>600399</v>
      </c>
    </row>
    <row r="71" spans="2:8" x14ac:dyDescent="0.25">
      <c r="B71" s="14" t="s">
        <v>50</v>
      </c>
      <c r="C71" s="27">
        <v>160185.55191800001</v>
      </c>
      <c r="D71" s="27">
        <v>113071.26691000001</v>
      </c>
      <c r="E71" s="27">
        <v>96494.054946999997</v>
      </c>
      <c r="F71" s="27">
        <v>289702</v>
      </c>
      <c r="G71" s="11">
        <f t="shared" si="0"/>
        <v>659452.87377499999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102806</v>
      </c>
      <c r="D73" s="19">
        <f>+D67+D61+D55</f>
        <v>8249</v>
      </c>
      <c r="E73" s="19">
        <f>+E67+E61+E55</f>
        <v>3388</v>
      </c>
      <c r="F73" s="19">
        <f t="shared" ref="F73:F74" si="1">+F55+F67</f>
        <v>9648</v>
      </c>
      <c r="G73" s="19">
        <f>SUM(C73:F73)</f>
        <v>124091</v>
      </c>
    </row>
    <row r="74" spans="2:8" x14ac:dyDescent="0.25">
      <c r="B74" s="18" t="s">
        <v>47</v>
      </c>
      <c r="C74" s="19">
        <f>+C56+C68</f>
        <v>82788.048399000007</v>
      </c>
      <c r="D74" s="19">
        <f>+D68+D62+D56</f>
        <v>12219.52409600011</v>
      </c>
      <c r="E74" s="19">
        <f>+E68+E62+E56</f>
        <v>5004.0745919999999</v>
      </c>
      <c r="F74" s="19">
        <f t="shared" si="1"/>
        <v>10777</v>
      </c>
      <c r="G74" s="22">
        <f>SUM(C74:F74)</f>
        <v>110788.64708700012</v>
      </c>
    </row>
    <row r="75" spans="2:8" x14ac:dyDescent="0.25">
      <c r="B75" s="18" t="s">
        <v>48</v>
      </c>
      <c r="C75" s="19">
        <v>14.546971966616701</v>
      </c>
      <c r="D75" s="19">
        <f>(+D57+D63+D69)/3</f>
        <v>31</v>
      </c>
      <c r="E75" s="19">
        <v>40.472255017709564</v>
      </c>
      <c r="F75" s="19">
        <f>(F57+F69)/2</f>
        <v>30</v>
      </c>
      <c r="G75" s="19">
        <f>AVERAGE(C75:F75)</f>
        <v>29.004806746081567</v>
      </c>
    </row>
    <row r="76" spans="2:8" x14ac:dyDescent="0.25">
      <c r="B76" s="18" t="s">
        <v>49</v>
      </c>
      <c r="C76" s="19">
        <f>+C58+C70</f>
        <v>1129177</v>
      </c>
      <c r="D76" s="19">
        <f t="shared" ref="D76:E76" si="2">+D70+D64+D58</f>
        <v>256414</v>
      </c>
      <c r="E76" s="19">
        <f t="shared" si="2"/>
        <v>136200</v>
      </c>
      <c r="F76" s="19">
        <f t="shared" ref="F76:F77" si="3">+F58+F70</f>
        <v>368335</v>
      </c>
      <c r="G76" s="19">
        <f>SUM(C76:F76)</f>
        <v>1890126</v>
      </c>
    </row>
    <row r="77" spans="2:8" x14ac:dyDescent="0.25">
      <c r="B77" s="18" t="s">
        <v>50</v>
      </c>
      <c r="C77" s="19">
        <f>+C59+C71</f>
        <v>2361946.5110669998</v>
      </c>
      <c r="D77" s="19">
        <f>+D71+D65+D59</f>
        <v>425311.84551499999</v>
      </c>
      <c r="E77" s="19">
        <f>+E71+E65+E59</f>
        <v>208848.362754</v>
      </c>
      <c r="F77" s="19">
        <f t="shared" si="3"/>
        <v>498788</v>
      </c>
      <c r="G77" s="22">
        <f>SUM(C77:F77)</f>
        <v>3494894.7193359998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963</v>
      </c>
      <c r="D84" s="24">
        <v>108</v>
      </c>
      <c r="E84" s="24">
        <v>5</v>
      </c>
      <c r="F84" s="24">
        <v>87</v>
      </c>
      <c r="G84" s="24">
        <f>SUM(C84:F84)</f>
        <v>1163</v>
      </c>
    </row>
    <row r="85" spans="2:7" x14ac:dyDescent="0.25">
      <c r="B85" s="14" t="s">
        <v>50</v>
      </c>
      <c r="C85" s="24">
        <v>20662.811559999998</v>
      </c>
      <c r="D85" s="24">
        <v>1346</v>
      </c>
      <c r="E85" s="24">
        <v>61</v>
      </c>
      <c r="F85" s="24">
        <v>1604.556388</v>
      </c>
      <c r="G85" s="11">
        <f>SUM(C85:F85)</f>
        <v>23674.367947999999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166.51486199999999</v>
      </c>
      <c r="D97" s="27">
        <v>0</v>
      </c>
      <c r="E97" s="27">
        <v>0</v>
      </c>
      <c r="F97" s="27">
        <v>74.008094999999997</v>
      </c>
      <c r="G97" s="11">
        <f>SUM(C97:F97)</f>
        <v>240.52295699999999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973</v>
      </c>
      <c r="D102" s="19">
        <f t="shared" ref="D102:D103" si="4">+D96+D90+D84</f>
        <v>108</v>
      </c>
      <c r="E102" s="19">
        <f>+E84</f>
        <v>5</v>
      </c>
      <c r="F102" s="19">
        <f>+F96+F84</f>
        <v>93</v>
      </c>
      <c r="G102" s="19">
        <f>SUM(C102:F102)</f>
        <v>1179</v>
      </c>
    </row>
    <row r="103" spans="2:8" x14ac:dyDescent="0.25">
      <c r="B103" s="18" t="s">
        <v>50</v>
      </c>
      <c r="C103" s="19">
        <f>+C97+C85</f>
        <v>20829.326421999998</v>
      </c>
      <c r="D103" s="19">
        <f t="shared" si="4"/>
        <v>1346</v>
      </c>
      <c r="E103" s="19">
        <f>+E85</f>
        <v>61</v>
      </c>
      <c r="F103" s="19">
        <f>+F85+F97</f>
        <v>1678.5644829999999</v>
      </c>
      <c r="G103" s="22">
        <f>SUM(C103:F103)</f>
        <v>23914.890904999997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2.831316853078222</v>
      </c>
      <c r="D107" s="13">
        <v>2.5499999999999998</v>
      </c>
      <c r="E107" s="66">
        <v>2.7707867494824017</v>
      </c>
      <c r="F107" s="13">
        <v>2.54</v>
      </c>
      <c r="G107" s="13">
        <f>AVERAGE(C107:F107)</f>
        <v>2.6730259006401553</v>
      </c>
    </row>
    <row r="108" spans="2:8" x14ac:dyDescent="0.25">
      <c r="B108" s="14" t="s">
        <v>60</v>
      </c>
      <c r="C108" s="13">
        <v>2.2702189613664476</v>
      </c>
      <c r="D108" s="13">
        <v>2.59</v>
      </c>
      <c r="E108" s="66">
        <v>2.6156622516556292</v>
      </c>
      <c r="F108" s="13">
        <v>2.58</v>
      </c>
      <c r="G108" s="13">
        <f>AVERAGE(C108:F108)</f>
        <v>2.513970303255519</v>
      </c>
    </row>
    <row r="109" spans="2:8" x14ac:dyDescent="0.25">
      <c r="B109" s="14" t="s">
        <v>61</v>
      </c>
      <c r="C109" s="13">
        <v>2.1296033335192122</v>
      </c>
      <c r="D109" s="13">
        <v>2.59</v>
      </c>
      <c r="E109" s="66">
        <v>2.5757388316151202</v>
      </c>
      <c r="F109" s="13">
        <v>2.58</v>
      </c>
      <c r="G109" s="13">
        <f>AVERAGE(C109:F109)</f>
        <v>2.4688355412835827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1.5318181818181817</v>
      </c>
      <c r="D111" s="13">
        <v>1.95</v>
      </c>
      <c r="E111" s="66">
        <v>1.6719999999999999</v>
      </c>
      <c r="F111" s="13">
        <v>1.8</v>
      </c>
      <c r="G111" s="13">
        <f>AVERAGE(C111:F111)</f>
        <v>1.7384545454545453</v>
      </c>
    </row>
    <row r="112" spans="2:8" x14ac:dyDescent="0.25">
      <c r="B112" s="14" t="s">
        <v>60</v>
      </c>
      <c r="C112" s="13">
        <v>1.5337722419928894</v>
      </c>
      <c r="D112" s="13">
        <v>2.13</v>
      </c>
      <c r="E112" s="66">
        <v>2.11</v>
      </c>
      <c r="F112" s="13">
        <v>2.12</v>
      </c>
      <c r="G112" s="13">
        <f>AVERAGE(C112:F112)</f>
        <v>1.9734430604982223</v>
      </c>
    </row>
    <row r="113" spans="2:9" x14ac:dyDescent="0.25">
      <c r="B113" s="14" t="s">
        <v>61</v>
      </c>
      <c r="C113" s="13">
        <v>1.7185739436619887</v>
      </c>
      <c r="D113" s="13">
        <v>2.13</v>
      </c>
      <c r="E113" s="66">
        <v>2.1096052631578948</v>
      </c>
      <c r="F113" s="13">
        <v>2.12</v>
      </c>
      <c r="G113" s="13">
        <f>AVERAGE(C113:F113)</f>
        <v>2.0195448017049706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1.4416591928251192</v>
      </c>
      <c r="D116" s="13">
        <v>1.79</v>
      </c>
      <c r="E116" s="66">
        <v>1.7140196078431373</v>
      </c>
      <c r="F116" s="13">
        <v>1.78</v>
      </c>
      <c r="G116" s="13">
        <f>AVERAGE(C116:F116)</f>
        <v>1.6814197001670641</v>
      </c>
    </row>
    <row r="117" spans="2:9" x14ac:dyDescent="0.25">
      <c r="B117" s="14" t="s">
        <v>60</v>
      </c>
      <c r="C117" s="13">
        <v>1.7572727272727662</v>
      </c>
      <c r="D117" s="13">
        <v>1.79</v>
      </c>
      <c r="E117" s="66">
        <v>1.7571621621621623</v>
      </c>
      <c r="F117" s="13">
        <v>1.78</v>
      </c>
      <c r="G117" s="13">
        <f>AVERAGE(C117:F117)</f>
        <v>1.7711087223587321</v>
      </c>
    </row>
    <row r="118" spans="2:9" x14ac:dyDescent="0.25">
      <c r="B118" s="14" t="s">
        <v>61</v>
      </c>
      <c r="C118" s="13">
        <v>1.7039878865157876</v>
      </c>
      <c r="D118" s="13">
        <v>1.74</v>
      </c>
      <c r="E118" s="66">
        <v>1.7617761557177616</v>
      </c>
      <c r="F118" s="13">
        <v>1.74</v>
      </c>
      <c r="G118" s="13">
        <f>AVERAGE(C118:F118)</f>
        <v>1.7364410105583874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66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66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66">
        <v>1.5076470588235293</v>
      </c>
      <c r="F122" s="13">
        <v>1.43</v>
      </c>
      <c r="G122" s="13">
        <f>AVERAGE(C122:F122)</f>
        <v>1.4494117647058822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>
        <v>2.02</v>
      </c>
      <c r="D127" s="11">
        <v>2.1315770000000001</v>
      </c>
      <c r="E127" s="11">
        <v>2.1871363918211864</v>
      </c>
      <c r="F127" s="11">
        <v>0</v>
      </c>
      <c r="G127" s="11">
        <f>AVERAGE(C127:E127)</f>
        <v>2.1129044639403953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250245</v>
      </c>
      <c r="D130" s="27">
        <v>3447</v>
      </c>
      <c r="E130" s="27">
        <v>6093</v>
      </c>
      <c r="F130" s="27">
        <v>760</v>
      </c>
      <c r="G130" s="27">
        <f>SUM(C130:F130)</f>
        <v>260545</v>
      </c>
    </row>
    <row r="131" spans="2:9" x14ac:dyDescent="0.25">
      <c r="B131" s="14" t="s">
        <v>71</v>
      </c>
      <c r="C131" s="27">
        <v>160768.48489399999</v>
      </c>
      <c r="D131" s="27">
        <v>3761</v>
      </c>
      <c r="E131" s="27">
        <v>935245</v>
      </c>
      <c r="F131" s="27">
        <v>799.92162199999996</v>
      </c>
      <c r="G131" s="11">
        <f>SUM(C131:F131)</f>
        <v>1100574.4065159999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839082</v>
      </c>
      <c r="D134" s="27">
        <v>408557</v>
      </c>
      <c r="E134" s="27">
        <v>158780</v>
      </c>
      <c r="F134" s="27">
        <v>376059</v>
      </c>
      <c r="G134" s="27">
        <f>SUM(C134:F134)</f>
        <v>1782478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14341</v>
      </c>
      <c r="G138" s="27">
        <f>SUM(C138:F138)</f>
        <v>14341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108</v>
      </c>
      <c r="G139" s="27">
        <f>SUM(C139:F139)</f>
        <v>108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1557</v>
      </c>
      <c r="E146" s="27"/>
      <c r="F146" s="24">
        <v>1201</v>
      </c>
      <c r="G146" s="27">
        <f>SUM(C146:F146)</f>
        <v>2758</v>
      </c>
    </row>
    <row r="147" spans="2:8" x14ac:dyDescent="0.25">
      <c r="B147" s="14" t="s">
        <v>82</v>
      </c>
      <c r="C147" s="27">
        <v>0</v>
      </c>
      <c r="D147" s="27">
        <v>34.531999999999996</v>
      </c>
      <c r="E147" s="27"/>
      <c r="F147" s="24">
        <v>13.455249999999999</v>
      </c>
      <c r="G147" s="11">
        <f>SUM(C147:F147)</f>
        <v>47.987249999999996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>
        <v>31734</v>
      </c>
      <c r="E150" s="27">
        <v>0</v>
      </c>
      <c r="F150" s="27">
        <v>0</v>
      </c>
      <c r="G150" s="27">
        <f>SUM(C150:F150)</f>
        <v>31734</v>
      </c>
      <c r="H150"/>
    </row>
    <row r="151" spans="2:8" x14ac:dyDescent="0.25">
      <c r="B151" s="14" t="s">
        <v>85</v>
      </c>
      <c r="C151" s="27">
        <v>0</v>
      </c>
      <c r="D151" s="36">
        <v>615.61099999999999</v>
      </c>
      <c r="E151" s="27">
        <v>0</v>
      </c>
      <c r="F151" s="27">
        <v>0</v>
      </c>
      <c r="G151" s="11">
        <f>SUM(C151:F151)</f>
        <v>615.61099999999999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66</v>
      </c>
      <c r="E154" s="67">
        <v>33</v>
      </c>
      <c r="F154" s="27">
        <v>0</v>
      </c>
      <c r="G154" s="27">
        <f>SUM(C154:F154)</f>
        <v>99</v>
      </c>
      <c r="H154"/>
    </row>
    <row r="155" spans="2:8" x14ac:dyDescent="0.25">
      <c r="B155" s="14" t="s">
        <v>88</v>
      </c>
      <c r="C155" s="27">
        <v>0</v>
      </c>
      <c r="D155" s="27">
        <v>1.18</v>
      </c>
      <c r="E155" s="65">
        <v>0.79600000000000004</v>
      </c>
      <c r="F155" s="27">
        <v>0</v>
      </c>
      <c r="G155" s="11">
        <f>SUM(C155:F155)</f>
        <v>1.976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33357</v>
      </c>
      <c r="E158" s="19">
        <v>33</v>
      </c>
      <c r="F158" s="19">
        <f t="shared" ref="F158:F159" si="5">+F146+F154</f>
        <v>1201</v>
      </c>
      <c r="G158" s="19">
        <f>SUM(C158:F158)</f>
        <v>34591</v>
      </c>
    </row>
    <row r="159" spans="2:8" x14ac:dyDescent="0.25">
      <c r="B159" s="18" t="s">
        <v>91</v>
      </c>
      <c r="C159" s="19">
        <v>0</v>
      </c>
      <c r="D159" s="19">
        <f>D147+D151+D155</f>
        <v>651.32299999999998</v>
      </c>
      <c r="E159" s="19">
        <v>0.79600000000000004</v>
      </c>
      <c r="F159" s="19">
        <f t="shared" si="5"/>
        <v>13.455249999999999</v>
      </c>
      <c r="G159" s="22">
        <f>SUM(C159:F159)</f>
        <v>665.57425000000001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2847</v>
      </c>
      <c r="D162" s="27">
        <v>10310</v>
      </c>
      <c r="E162" s="27">
        <v>6684</v>
      </c>
      <c r="F162" s="27">
        <v>34705</v>
      </c>
      <c r="G162" s="27">
        <f>SUM(C162:F162)</f>
        <v>54546</v>
      </c>
    </row>
    <row r="163" spans="2:8" x14ac:dyDescent="0.25">
      <c r="B163" s="14" t="s">
        <v>88</v>
      </c>
      <c r="C163" s="27">
        <f>69035867/1000000</f>
        <v>69.035866999999996</v>
      </c>
      <c r="D163" s="27">
        <v>48.061070999999998</v>
      </c>
      <c r="E163" s="27">
        <v>118.198916</v>
      </c>
      <c r="F163" s="27">
        <v>218.57943599999999</v>
      </c>
      <c r="G163" s="11">
        <f>SUM(C163:F163)</f>
        <v>453.87528999999995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777</v>
      </c>
      <c r="D167" s="27">
        <v>2163</v>
      </c>
      <c r="E167" s="27">
        <v>55</v>
      </c>
      <c r="F167" s="27">
        <v>504</v>
      </c>
      <c r="G167" s="27">
        <f>SUM(C167:F167)</f>
        <v>3499</v>
      </c>
    </row>
    <row r="168" spans="2:8" x14ac:dyDescent="0.25">
      <c r="B168" s="14" t="s">
        <v>96</v>
      </c>
      <c r="C168" s="27">
        <f>27195000/1000000</f>
        <v>27.195</v>
      </c>
      <c r="D168" s="27">
        <v>47.762</v>
      </c>
      <c r="E168" s="27">
        <v>3.1</v>
      </c>
      <c r="F168" s="27">
        <v>19.54</v>
      </c>
      <c r="G168" s="11">
        <f>SUM(C168:F168)</f>
        <v>97.59699999999998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1764</v>
      </c>
      <c r="D171" s="27">
        <v>233</v>
      </c>
      <c r="E171" s="27">
        <v>64</v>
      </c>
      <c r="F171" s="27">
        <v>413</v>
      </c>
      <c r="G171" s="27">
        <f>SUM(C171:F171)</f>
        <v>2474</v>
      </c>
    </row>
    <row r="172" spans="2:8" x14ac:dyDescent="0.25">
      <c r="B172" s="14" t="s">
        <v>96</v>
      </c>
      <c r="C172" s="27">
        <f>61740000/1000000</f>
        <v>61.74</v>
      </c>
      <c r="D172" s="27">
        <v>4.8929999999999998</v>
      </c>
      <c r="E172" s="27">
        <v>1.6</v>
      </c>
      <c r="F172" s="27">
        <v>10.305999999999999</v>
      </c>
      <c r="G172" s="11">
        <f>SUM(C172:F172)</f>
        <v>78.538999999999987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260</v>
      </c>
      <c r="D175" s="27">
        <v>343</v>
      </c>
      <c r="E175" s="27">
        <v>188</v>
      </c>
      <c r="F175" s="27">
        <v>31</v>
      </c>
      <c r="G175" s="27">
        <f>SUM(C175:F175)</f>
        <v>822</v>
      </c>
    </row>
    <row r="176" spans="2:8" x14ac:dyDescent="0.25">
      <c r="B176" s="14" t="s">
        <v>96</v>
      </c>
      <c r="C176" s="27">
        <f>27060000/1000000</f>
        <v>27.06</v>
      </c>
      <c r="D176" s="27">
        <v>35.69</v>
      </c>
      <c r="E176" s="27">
        <v>10.57</v>
      </c>
      <c r="F176" s="27">
        <v>3.165</v>
      </c>
      <c r="G176" s="11">
        <f>SUM(C176:F176)</f>
        <v>76.484999999999999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310</v>
      </c>
      <c r="D179" s="27">
        <v>54</v>
      </c>
      <c r="E179" s="27">
        <v>0</v>
      </c>
      <c r="F179" s="27">
        <v>0</v>
      </c>
      <c r="G179" s="27">
        <f>SUM(C179:F179)</f>
        <v>364</v>
      </c>
    </row>
    <row r="180" spans="2:8" x14ac:dyDescent="0.25">
      <c r="B180" s="14" t="s">
        <v>96</v>
      </c>
      <c r="C180" s="27">
        <f>12560000/1000000</f>
        <v>12.56</v>
      </c>
      <c r="D180" s="27">
        <v>5.3558139999999996</v>
      </c>
      <c r="E180" s="27">
        <v>0</v>
      </c>
      <c r="F180" s="27">
        <v>0</v>
      </c>
      <c r="G180" s="11">
        <f>SUM(C180:F180)</f>
        <v>17.915814000000001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3111</v>
      </c>
      <c r="D183" s="19">
        <f>D167+D171+D175+D179</f>
        <v>2793</v>
      </c>
      <c r="E183" s="19">
        <v>307</v>
      </c>
      <c r="F183" s="19">
        <f>+F179+F175+F171+F167</f>
        <v>948</v>
      </c>
      <c r="G183" s="19">
        <f>SUM(C183:F183)</f>
        <v>7159</v>
      </c>
    </row>
    <row r="184" spans="2:8" x14ac:dyDescent="0.25">
      <c r="B184" s="18" t="s">
        <v>103</v>
      </c>
      <c r="C184" s="19">
        <f>+C180+C176+C172+C168</f>
        <v>128.55500000000001</v>
      </c>
      <c r="D184" s="19">
        <f>D168+D172+D176+D180</f>
        <v>93.700813999999994</v>
      </c>
      <c r="E184" s="19">
        <v>15.27</v>
      </c>
      <c r="F184" s="19">
        <f>+F180+F176+F172+F168</f>
        <v>33.010999999999996</v>
      </c>
      <c r="G184" s="22">
        <f>SUM(C184:F184)</f>
        <v>270.53681399999999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3628</v>
      </c>
      <c r="D187" s="27">
        <v>0</v>
      </c>
      <c r="E187" s="27">
        <v>77</v>
      </c>
      <c r="F187" s="27">
        <f>F166+F171+F175+F179+F162</f>
        <v>35149</v>
      </c>
      <c r="G187" s="27">
        <f>SUM(C187:F187)</f>
        <v>38854</v>
      </c>
    </row>
    <row r="188" spans="2:8" x14ac:dyDescent="0.25">
      <c r="B188" s="14" t="s">
        <v>106</v>
      </c>
      <c r="C188" s="27">
        <f>40626286/1000000</f>
        <v>40.626286</v>
      </c>
      <c r="D188" s="27">
        <v>0</v>
      </c>
      <c r="E188" s="27">
        <v>3.07</v>
      </c>
      <c r="F188" s="27">
        <f>F167+F172+F176+F180+F163</f>
        <v>736.05043599999999</v>
      </c>
      <c r="G188" s="11">
        <f>SUM(C188:F188)</f>
        <v>779.74672199999998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9586</v>
      </c>
      <c r="D191" s="19">
        <f>+D187+D183+D162+D158</f>
        <v>46460</v>
      </c>
      <c r="E191" s="19">
        <v>7068</v>
      </c>
      <c r="F191" s="19">
        <f>F158+F162+F183+F187</f>
        <v>72003</v>
      </c>
      <c r="G191" s="19">
        <f>SUM(C191:F191)</f>
        <v>135117</v>
      </c>
    </row>
    <row r="192" spans="2:8" x14ac:dyDescent="0.25">
      <c r="B192" s="18" t="s">
        <v>109</v>
      </c>
      <c r="C192" s="19">
        <f>C188+C163+C184</f>
        <v>238.217153</v>
      </c>
      <c r="D192" s="19">
        <f>+D188+D184+D163+D159</f>
        <v>793.08488499999999</v>
      </c>
      <c r="E192" s="19">
        <v>136.538916</v>
      </c>
      <c r="F192" s="19">
        <f>F159+F184+F163+F188</f>
        <v>1001.0961219999999</v>
      </c>
      <c r="G192" s="22">
        <f>SUM(C192:F192)</f>
        <v>2168.9370760000002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C9BB-4F2C-4CFB-9C96-9DA216A3DDDE}">
  <dimension ref="A1:BD196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>
        <v>54691</v>
      </c>
      <c r="D6" s="12">
        <v>8217</v>
      </c>
      <c r="E6" s="12">
        <v>7769</v>
      </c>
      <c r="F6" s="12">
        <v>9457</v>
      </c>
      <c r="G6" s="12">
        <f>+F6+E6+D6+C6</f>
        <v>80134</v>
      </c>
    </row>
    <row r="7" spans="1:7" x14ac:dyDescent="0.25">
      <c r="B7" s="14" t="s">
        <v>10</v>
      </c>
      <c r="C7" s="12">
        <v>562</v>
      </c>
      <c r="D7" s="12">
        <v>269</v>
      </c>
      <c r="E7" s="12">
        <v>23</v>
      </c>
      <c r="F7" s="12">
        <v>138</v>
      </c>
      <c r="G7" s="12">
        <f>+F7+E7+D7+C7</f>
        <v>992</v>
      </c>
    </row>
    <row r="8" spans="1:7" x14ac:dyDescent="0.25">
      <c r="B8" s="18" t="s">
        <v>11</v>
      </c>
      <c r="C8" s="25">
        <f>SUM(C6:C7)</f>
        <v>55253</v>
      </c>
      <c r="D8" s="25">
        <f>+D6+D7</f>
        <v>8486</v>
      </c>
      <c r="E8" s="25">
        <v>7792</v>
      </c>
      <c r="F8" s="25">
        <v>9595</v>
      </c>
      <c r="G8" s="25">
        <f>+F8+E8+D8+C8</f>
        <v>81126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745992</v>
      </c>
      <c r="D12" s="17">
        <v>92398</v>
      </c>
      <c r="E12" s="17">
        <v>37156</v>
      </c>
      <c r="F12" s="17">
        <v>0</v>
      </c>
      <c r="G12" s="17">
        <f>SUM(C12:F12)</f>
        <v>875546</v>
      </c>
    </row>
    <row r="13" spans="1:7" x14ac:dyDescent="0.25">
      <c r="B13" s="16" t="s">
        <v>15</v>
      </c>
      <c r="C13" s="17">
        <v>2686096</v>
      </c>
      <c r="D13" s="17">
        <v>550442</v>
      </c>
      <c r="E13" s="17">
        <v>230845</v>
      </c>
      <c r="F13" s="17">
        <v>0</v>
      </c>
      <c r="G13" s="17">
        <f>SUM(C13:F13)</f>
        <v>3467383</v>
      </c>
    </row>
    <row r="14" spans="1:7" x14ac:dyDescent="0.25">
      <c r="B14" s="18" t="s">
        <v>16</v>
      </c>
      <c r="C14" s="19">
        <f>C13+C12</f>
        <v>3432088</v>
      </c>
      <c r="D14" s="19">
        <v>956063</v>
      </c>
      <c r="E14" s="19">
        <v>268001</v>
      </c>
      <c r="F14" s="19">
        <v>341585</v>
      </c>
      <c r="G14" s="19">
        <f>SUM(C14:F14)</f>
        <v>4997737</v>
      </c>
    </row>
    <row r="15" spans="1:7" x14ac:dyDescent="0.25">
      <c r="B15" s="18" t="s">
        <v>17</v>
      </c>
      <c r="C15" s="19">
        <v>552711</v>
      </c>
      <c r="D15" s="19">
        <v>196427</v>
      </c>
      <c r="E15" s="19">
        <v>3480</v>
      </c>
      <c r="F15" s="19">
        <v>163013</v>
      </c>
      <c r="G15" s="19">
        <f>SUM(C15:F15)</f>
        <v>915631</v>
      </c>
    </row>
    <row r="16" spans="1:7" x14ac:dyDescent="0.25">
      <c r="B16" s="18" t="s">
        <v>18</v>
      </c>
      <c r="C16" s="19">
        <f>C15+C14</f>
        <v>3984799</v>
      </c>
      <c r="D16" s="19">
        <f>+D14+D15</f>
        <v>1152490</v>
      </c>
      <c r="E16" s="19">
        <v>271481</v>
      </c>
      <c r="F16" s="19">
        <v>504598</v>
      </c>
      <c r="G16" s="19">
        <f>SUM(C16:F16)</f>
        <v>5913368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3483</v>
      </c>
      <c r="D19" s="27">
        <v>3</v>
      </c>
      <c r="E19" s="27">
        <v>0</v>
      </c>
      <c r="F19" s="27">
        <v>0</v>
      </c>
      <c r="G19" s="27">
        <f>SUM(C19:F19)</f>
        <v>3486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v>3988237</v>
      </c>
      <c r="D21" s="19">
        <v>1152493</v>
      </c>
      <c r="E21" s="19">
        <v>271481</v>
      </c>
      <c r="F21" s="19">
        <f>F16</f>
        <v>504598</v>
      </c>
      <c r="G21" s="19">
        <f>SUM(C21:F21)</f>
        <v>5916809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410338</v>
      </c>
      <c r="D24" s="19">
        <v>219807</v>
      </c>
      <c r="E24" s="19">
        <v>169445</v>
      </c>
      <c r="F24" s="19">
        <v>692412</v>
      </c>
      <c r="G24" s="19">
        <f>SUM(C24:F24)</f>
        <v>1492002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4398575</v>
      </c>
      <c r="D27" s="19">
        <f>+D24+D21</f>
        <v>1372300</v>
      </c>
      <c r="E27" s="19">
        <f>+E24+E21</f>
        <v>440926</v>
      </c>
      <c r="F27" s="19">
        <f>+F24+F21</f>
        <v>1197010</v>
      </c>
      <c r="G27" s="19">
        <f>SUM(C27:F27)</f>
        <v>7408811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>
        <v>1236702</v>
      </c>
      <c r="D30" s="27">
        <v>120718</v>
      </c>
      <c r="E30" s="27">
        <v>67309</v>
      </c>
      <c r="F30" s="27">
        <v>186016</v>
      </c>
      <c r="G30" s="27">
        <f>SUM(C30:F30)</f>
        <v>1610745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>
        <v>4499426201217</v>
      </c>
      <c r="D33" s="27">
        <v>706460168760</v>
      </c>
      <c r="E33" s="27">
        <v>274622058764</v>
      </c>
      <c r="F33" s="27">
        <v>503456735248</v>
      </c>
      <c r="G33" s="27">
        <f>SUM(C33:F33)</f>
        <v>5983965163989</v>
      </c>
    </row>
    <row r="34" spans="2:9" x14ac:dyDescent="0.25">
      <c r="B34" s="14" t="s">
        <v>30</v>
      </c>
      <c r="C34" s="27">
        <v>188365403131</v>
      </c>
      <c r="D34" s="27">
        <v>78491997955</v>
      </c>
      <c r="E34" s="27">
        <v>54854865700</v>
      </c>
      <c r="F34" s="27">
        <v>220137287662</v>
      </c>
      <c r="G34" s="27">
        <f>SUM(C34:F34)</f>
        <v>541849554448</v>
      </c>
    </row>
    <row r="35" spans="2:9" x14ac:dyDescent="0.25">
      <c r="B35" s="39" t="s">
        <v>31</v>
      </c>
      <c r="C35" s="40">
        <v>4687791604348</v>
      </c>
      <c r="D35" s="40">
        <f>+D34+D33</f>
        <v>784952166715</v>
      </c>
      <c r="E35" s="40">
        <v>329476924464</v>
      </c>
      <c r="F35" s="40">
        <v>723594022910</v>
      </c>
      <c r="G35" s="40">
        <f>SUM(C35:F35)</f>
        <v>6525814718437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>
        <v>838630</v>
      </c>
      <c r="D40" s="27">
        <v>107694</v>
      </c>
      <c r="E40" s="27">
        <v>44407</v>
      </c>
      <c r="F40" s="27">
        <v>63538</v>
      </c>
      <c r="G40" s="27">
        <f>SUM(C40:F40)</f>
        <v>1054269</v>
      </c>
      <c r="H40" s="7"/>
      <c r="I40" s="7"/>
    </row>
    <row r="41" spans="2:9" x14ac:dyDescent="0.25">
      <c r="B41" s="14" t="s">
        <v>36</v>
      </c>
      <c r="C41" s="27">
        <f>4643235274/1000000</f>
        <v>4643.2352739999997</v>
      </c>
      <c r="D41" s="27">
        <v>1282.372468</v>
      </c>
      <c r="E41" s="27">
        <v>486.6</v>
      </c>
      <c r="F41" s="27">
        <v>690.40142900000001</v>
      </c>
      <c r="G41" s="11">
        <f>SUM(C41:F41)</f>
        <v>7102.6091710000001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>
        <v>5</v>
      </c>
      <c r="D44" s="27">
        <v>5</v>
      </c>
      <c r="E44" s="27">
        <v>4.9126999999999997E-2</v>
      </c>
      <c r="F44" s="27">
        <v>4.9126999999999997E-2</v>
      </c>
      <c r="G44" s="27">
        <f>SUM(C44:F44)</f>
        <v>10.098254000000001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4.9126999999999997E-2</v>
      </c>
      <c r="E45" s="27">
        <v>4.9126999999999997E-2</v>
      </c>
      <c r="F45" s="27">
        <v>4.9126999999999997E-2</v>
      </c>
      <c r="G45" s="11">
        <f>SUM(C45:F45)</f>
        <v>5.0322490000000011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>
        <v>146472</v>
      </c>
      <c r="D48" s="27">
        <v>59170</v>
      </c>
      <c r="E48" s="27">
        <v>9765</v>
      </c>
      <c r="F48" s="27">
        <v>46783</v>
      </c>
      <c r="G48" s="27">
        <f>SUM(C48:F48)</f>
        <v>262190</v>
      </c>
      <c r="H48" s="7"/>
      <c r="I48" s="7"/>
    </row>
    <row r="49" spans="2:9" x14ac:dyDescent="0.25">
      <c r="B49" s="14" t="s">
        <v>42</v>
      </c>
      <c r="C49" s="27">
        <f>(81222662082+1533073506)/1000000</f>
        <v>82755.735587999996</v>
      </c>
      <c r="D49" s="27">
        <v>24737</v>
      </c>
      <c r="E49" s="27">
        <v>9930.0832799999989</v>
      </c>
      <c r="F49" s="27">
        <v>10556.511404999999</v>
      </c>
      <c r="G49" s="11">
        <f>SUM(C49:F49)</f>
        <v>127979.330273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>
        <v>104605</v>
      </c>
      <c r="D55" s="27">
        <v>7026</v>
      </c>
      <c r="E55" s="27">
        <v>1284</v>
      </c>
      <c r="F55" s="27">
        <v>3843</v>
      </c>
      <c r="G55" s="27">
        <f t="shared" ref="G55:G71" si="0">SUM(C55:F55)</f>
        <v>116758</v>
      </c>
    </row>
    <row r="56" spans="2:9" x14ac:dyDescent="0.25">
      <c r="B56" s="14" t="s">
        <v>47</v>
      </c>
      <c r="C56" s="27">
        <v>87018.880002000005</v>
      </c>
      <c r="D56" s="27">
        <v>11644.109297000199</v>
      </c>
      <c r="E56" s="27">
        <v>2044.7682609999999</v>
      </c>
      <c r="F56" s="27">
        <v>5519</v>
      </c>
      <c r="G56" s="27">
        <f t="shared" si="0"/>
        <v>106226.75756000022</v>
      </c>
    </row>
    <row r="57" spans="2:9" x14ac:dyDescent="0.25">
      <c r="B57" s="14" t="s">
        <v>48</v>
      </c>
      <c r="C57" s="27">
        <v>14.038286888771999</v>
      </c>
      <c r="D57" s="27">
        <v>39</v>
      </c>
      <c r="E57" s="27">
        <v>20.965732087227416</v>
      </c>
      <c r="F57" s="27">
        <v>21</v>
      </c>
      <c r="G57" s="27">
        <f>AVERAGE(C57:F57)</f>
        <v>23.751004743999854</v>
      </c>
    </row>
    <row r="58" spans="2:9" x14ac:dyDescent="0.25">
      <c r="B58" s="14" t="s">
        <v>49</v>
      </c>
      <c r="C58" s="27">
        <v>1001557</v>
      </c>
      <c r="D58" s="27">
        <v>166227</v>
      </c>
      <c r="E58" s="27">
        <v>52081</v>
      </c>
      <c r="F58" s="27">
        <v>87079</v>
      </c>
      <c r="G58" s="27">
        <f t="shared" si="0"/>
        <v>1306944</v>
      </c>
    </row>
    <row r="59" spans="2:9" x14ac:dyDescent="0.25">
      <c r="B59" s="14" t="s">
        <v>50</v>
      </c>
      <c r="C59" s="27">
        <v>2245417.4505639998</v>
      </c>
      <c r="D59" s="27">
        <v>319925.253058</v>
      </c>
      <c r="E59" s="27">
        <v>112348.494571</v>
      </c>
      <c r="F59" s="27">
        <v>211130</v>
      </c>
      <c r="G59" s="11">
        <f t="shared" si="0"/>
        <v>2888821.1981929997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>
        <v>4542</v>
      </c>
      <c r="D67" s="27">
        <v>2037</v>
      </c>
      <c r="E67" s="27">
        <v>2128</v>
      </c>
      <c r="F67" s="27">
        <v>6501</v>
      </c>
      <c r="G67" s="27">
        <f t="shared" si="0"/>
        <v>15208</v>
      </c>
    </row>
    <row r="68" spans="2:8" x14ac:dyDescent="0.25">
      <c r="B68" s="14" t="s">
        <v>47</v>
      </c>
      <c r="C68" s="27">
        <v>3838.1215240000001</v>
      </c>
      <c r="D68" s="27">
        <v>2057.0543210000101</v>
      </c>
      <c r="E68" s="27">
        <v>2566.9671410000001</v>
      </c>
      <c r="F68" s="27">
        <v>5830</v>
      </c>
      <c r="G68" s="27">
        <f t="shared" si="0"/>
        <v>14292.14298600001</v>
      </c>
    </row>
    <row r="69" spans="2:8" x14ac:dyDescent="0.25">
      <c r="B69" s="14" t="s">
        <v>48</v>
      </c>
      <c r="C69" s="27">
        <v>31.618229854689599</v>
      </c>
      <c r="D69" s="27">
        <v>54</v>
      </c>
      <c r="E69" s="27">
        <v>52.48026315789474</v>
      </c>
      <c r="F69" s="27">
        <v>39</v>
      </c>
      <c r="G69" s="27">
        <f>AVERAGE(C69:F69)</f>
        <v>44.274623253146089</v>
      </c>
    </row>
    <row r="70" spans="2:8" x14ac:dyDescent="0.25">
      <c r="B70" s="14" t="s">
        <v>49</v>
      </c>
      <c r="C70" s="27">
        <v>142529</v>
      </c>
      <c r="D70" s="27">
        <v>93860</v>
      </c>
      <c r="E70" s="27">
        <v>85655</v>
      </c>
      <c r="F70" s="27">
        <v>284166</v>
      </c>
      <c r="G70" s="27">
        <f t="shared" si="0"/>
        <v>606210</v>
      </c>
    </row>
    <row r="71" spans="2:8" x14ac:dyDescent="0.25">
      <c r="B71" s="14" t="s">
        <v>50</v>
      </c>
      <c r="C71" s="27">
        <v>161417.67259999999</v>
      </c>
      <c r="D71" s="27">
        <v>113513.91436900001</v>
      </c>
      <c r="E71" s="27">
        <v>98188.476894000007</v>
      </c>
      <c r="F71" s="27">
        <v>291559</v>
      </c>
      <c r="G71" s="11">
        <f t="shared" si="0"/>
        <v>664679.06386300002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109147</v>
      </c>
      <c r="D73" s="19">
        <f>+D67+D61+D55</f>
        <v>9063</v>
      </c>
      <c r="E73" s="19">
        <f>+E67+E61+E55</f>
        <v>3412</v>
      </c>
      <c r="F73" s="19">
        <f t="shared" ref="F73:F74" si="1">+F55+F67</f>
        <v>10344</v>
      </c>
      <c r="G73" s="19">
        <f>SUM(C73:F73)</f>
        <v>131966</v>
      </c>
    </row>
    <row r="74" spans="2:8" x14ac:dyDescent="0.25">
      <c r="B74" s="18" t="s">
        <v>47</v>
      </c>
      <c r="C74" s="19">
        <f>+C56+C68</f>
        <v>90857.001526000007</v>
      </c>
      <c r="D74" s="19">
        <f>+D68+D62+D56</f>
        <v>13701.16361800021</v>
      </c>
      <c r="E74" s="19">
        <f>+E68+E62+E56</f>
        <v>4611.7354020000002</v>
      </c>
      <c r="F74" s="19">
        <f t="shared" si="1"/>
        <v>11349</v>
      </c>
      <c r="G74" s="22">
        <f>SUM(C74:F74)</f>
        <v>120518.90054600022</v>
      </c>
    </row>
    <row r="75" spans="2:8" x14ac:dyDescent="0.25">
      <c r="B75" s="18" t="s">
        <v>48</v>
      </c>
      <c r="C75" s="19">
        <v>14.546971966616701</v>
      </c>
      <c r="D75" s="19">
        <f>(+D57+D63+D69)/3</f>
        <v>31</v>
      </c>
      <c r="E75" s="19"/>
      <c r="F75" s="19">
        <f>(F57+F69)/2</f>
        <v>30</v>
      </c>
      <c r="G75" s="19">
        <f>AVERAGE(C75:F75)</f>
        <v>25.182323988872231</v>
      </c>
    </row>
    <row r="76" spans="2:8" x14ac:dyDescent="0.25">
      <c r="B76" s="18" t="s">
        <v>49</v>
      </c>
      <c r="C76" s="19">
        <f>+C58+C70</f>
        <v>1144086</v>
      </c>
      <c r="D76" s="19">
        <f t="shared" ref="D76:E76" si="2">+D70+D64+D58</f>
        <v>260087</v>
      </c>
      <c r="E76" s="19">
        <f t="shared" si="2"/>
        <v>137736</v>
      </c>
      <c r="F76" s="19">
        <f t="shared" ref="F76:F77" si="3">+F58+F70</f>
        <v>371245</v>
      </c>
      <c r="G76" s="19">
        <f>SUM(C76:F76)</f>
        <v>1913154</v>
      </c>
    </row>
    <row r="77" spans="2:8" x14ac:dyDescent="0.25">
      <c r="B77" s="18" t="s">
        <v>50</v>
      </c>
      <c r="C77" s="19">
        <f>+C59+C71</f>
        <v>2406835.123164</v>
      </c>
      <c r="D77" s="19">
        <f>+D71+D65+D59</f>
        <v>433439.16742700001</v>
      </c>
      <c r="E77" s="19">
        <f>+E71+E65+E59</f>
        <v>210536.97146500001</v>
      </c>
      <c r="F77" s="19">
        <f t="shared" si="3"/>
        <v>502689</v>
      </c>
      <c r="G77" s="22">
        <f>SUM(C77:F77)</f>
        <v>3553500.2620560001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960</v>
      </c>
      <c r="D84" s="24">
        <v>108</v>
      </c>
      <c r="E84" s="24">
        <v>5</v>
      </c>
      <c r="F84" s="24">
        <v>87</v>
      </c>
      <c r="G84" s="24">
        <f>SUM(C84:F84)</f>
        <v>1160</v>
      </c>
    </row>
    <row r="85" spans="2:7" x14ac:dyDescent="0.25">
      <c r="B85" s="14" t="s">
        <v>50</v>
      </c>
      <c r="C85" s="24">
        <v>20470.853505999999</v>
      </c>
      <c r="D85" s="24">
        <v>1334</v>
      </c>
      <c r="E85" s="24">
        <v>61</v>
      </c>
      <c r="F85" s="24">
        <v>1582.479904</v>
      </c>
      <c r="G85" s="11">
        <f>SUM(C85:F85)</f>
        <v>23448.333409999999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164.85460800000001</v>
      </c>
      <c r="D97" s="27">
        <v>0</v>
      </c>
      <c r="E97" s="27">
        <v>0</v>
      </c>
      <c r="F97" s="27">
        <v>73.063176999999996</v>
      </c>
      <c r="G97" s="11">
        <f>SUM(C97:F97)</f>
        <v>237.91778500000001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970</v>
      </c>
      <c r="D102" s="19">
        <f t="shared" ref="D102:D103" si="4">+D96+D90+D84</f>
        <v>108</v>
      </c>
      <c r="E102" s="19">
        <f>+E84</f>
        <v>5</v>
      </c>
      <c r="F102" s="19">
        <f>+F96+F84</f>
        <v>93</v>
      </c>
      <c r="G102" s="19">
        <f>SUM(C102:F102)</f>
        <v>1176</v>
      </c>
    </row>
    <row r="103" spans="2:8" x14ac:dyDescent="0.25">
      <c r="B103" s="18" t="s">
        <v>50</v>
      </c>
      <c r="C103" s="19">
        <f>+C97+C85</f>
        <v>20635.708114000001</v>
      </c>
      <c r="D103" s="19">
        <f t="shared" si="4"/>
        <v>1334</v>
      </c>
      <c r="E103" s="19">
        <f>+E85</f>
        <v>61</v>
      </c>
      <c r="F103" s="19">
        <f>+F85+F97</f>
        <v>1655.543081</v>
      </c>
      <c r="G103" s="22">
        <f>SUM(C103:F103)</f>
        <v>23686.251195000001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>
        <v>2.5019943955960584</v>
      </c>
      <c r="D107" s="13">
        <v>2.5499999999999998</v>
      </c>
      <c r="E107" s="68">
        <v>2.7955027422303478</v>
      </c>
      <c r="F107" s="13">
        <v>2.54</v>
      </c>
      <c r="G107" s="13">
        <f>AVERAGE(C107:F107)</f>
        <v>2.5968742844566011</v>
      </c>
    </row>
    <row r="108" spans="2:8" x14ac:dyDescent="0.25">
      <c r="B108" s="14" t="s">
        <v>60</v>
      </c>
      <c r="C108" s="13">
        <v>2.2705979543666159</v>
      </c>
      <c r="D108" s="13">
        <v>2.56</v>
      </c>
      <c r="E108" s="68">
        <v>2.6407420494699649</v>
      </c>
      <c r="F108" s="13">
        <v>2.54</v>
      </c>
      <c r="G108" s="13">
        <f>AVERAGE(C108:F108)</f>
        <v>2.5028350009591449</v>
      </c>
    </row>
    <row r="109" spans="2:8" x14ac:dyDescent="0.25">
      <c r="B109" s="14" t="s">
        <v>61</v>
      </c>
      <c r="C109" s="13">
        <v>2.1617761717035249</v>
      </c>
      <c r="D109" s="13">
        <v>2.56</v>
      </c>
      <c r="E109" s="68">
        <v>2.595425101214575</v>
      </c>
      <c r="F109" s="13">
        <v>2.54</v>
      </c>
      <c r="G109" s="13">
        <f>AVERAGE(C109:F109)</f>
        <v>2.4643003182295251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>
        <v>1.5441935483870963</v>
      </c>
      <c r="D111" s="13">
        <v>1.95</v>
      </c>
      <c r="E111" s="68">
        <v>1.95</v>
      </c>
      <c r="F111" s="13">
        <v>1.7999999999999992</v>
      </c>
      <c r="G111" s="13">
        <f>AVERAGE(C111:F111)</f>
        <v>1.8110483870967737</v>
      </c>
    </row>
    <row r="112" spans="2:8" x14ac:dyDescent="0.25">
      <c r="B112" s="14" t="s">
        <v>60</v>
      </c>
      <c r="C112" s="13">
        <v>1.5442774566474056</v>
      </c>
      <c r="D112" s="13">
        <v>2.1</v>
      </c>
      <c r="E112" s="68">
        <v>2.1090909090909089</v>
      </c>
      <c r="F112" s="13">
        <v>2.08</v>
      </c>
      <c r="G112" s="13">
        <f>AVERAGE(C112:F112)</f>
        <v>1.9583420914345786</v>
      </c>
    </row>
    <row r="113" spans="2:9" x14ac:dyDescent="0.25">
      <c r="B113" s="14" t="s">
        <v>61</v>
      </c>
      <c r="C113" s="13">
        <v>1.7912565643599254</v>
      </c>
      <c r="D113" s="13">
        <v>2.1</v>
      </c>
      <c r="E113" s="68">
        <v>2.1089473684210525</v>
      </c>
      <c r="F113" s="13">
        <v>2.08</v>
      </c>
      <c r="G113" s="13">
        <f>AVERAGE(C113:F113)</f>
        <v>2.0200509831952447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>
        <v>1.4738164251207957</v>
      </c>
      <c r="D116" s="13">
        <v>1.79</v>
      </c>
      <c r="E116" s="68">
        <v>1.8084962406015037</v>
      </c>
      <c r="F116" s="13">
        <v>1.78</v>
      </c>
      <c r="G116" s="13">
        <f>AVERAGE(C116:F116)</f>
        <v>1.713078166430575</v>
      </c>
    </row>
    <row r="117" spans="2:9" x14ac:dyDescent="0.25">
      <c r="B117" s="14" t="s">
        <v>60</v>
      </c>
      <c r="C117" s="13">
        <v>1.7562845622120433</v>
      </c>
      <c r="D117" s="13">
        <v>1.79</v>
      </c>
      <c r="E117" s="68">
        <v>1.8081818181818181</v>
      </c>
      <c r="F117" s="13">
        <v>1.78</v>
      </c>
      <c r="G117" s="13">
        <f>AVERAGE(C117:F117)</f>
        <v>1.7836165950984653</v>
      </c>
    </row>
    <row r="118" spans="2:9" x14ac:dyDescent="0.25">
      <c r="B118" s="14" t="s">
        <v>61</v>
      </c>
      <c r="C118" s="13">
        <v>1.7195403128760611</v>
      </c>
      <c r="D118" s="13">
        <v>1.74</v>
      </c>
      <c r="E118" s="68">
        <v>1.8</v>
      </c>
      <c r="F118" s="13">
        <v>1.74</v>
      </c>
      <c r="G118" s="13">
        <f>AVERAGE(C118:F118)</f>
        <v>1.7498850782190154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68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68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68">
        <v>1.5295774647887326</v>
      </c>
      <c r="F122" s="13">
        <v>1.43</v>
      </c>
      <c r="G122" s="13">
        <f>AVERAGE(C122:F122)</f>
        <v>1.4548943661971832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37">
        <v>2.02</v>
      </c>
      <c r="D127" s="37">
        <v>2.1348250000000002</v>
      </c>
      <c r="E127" s="69">
        <v>2.1804168312271708</v>
      </c>
      <c r="F127" s="11"/>
      <c r="G127" s="11">
        <f>AVERAGE(C127:E127)</f>
        <v>2.111747277075724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>
        <v>250318</v>
      </c>
      <c r="D130" s="27">
        <v>3447</v>
      </c>
      <c r="E130" s="27">
        <v>6091</v>
      </c>
      <c r="F130" s="27">
        <v>758</v>
      </c>
      <c r="G130" s="27">
        <f>SUM(C130:F130)</f>
        <v>260614</v>
      </c>
    </row>
    <row r="131" spans="2:9" x14ac:dyDescent="0.25">
      <c r="B131" s="14" t="s">
        <v>71</v>
      </c>
      <c r="C131" s="27">
        <v>161272.54795400001</v>
      </c>
      <c r="D131" s="27">
        <v>3762</v>
      </c>
      <c r="E131" s="27">
        <v>901449</v>
      </c>
      <c r="F131" s="27">
        <v>793.90796399999999</v>
      </c>
      <c r="G131" s="11">
        <f>SUM(C131:F131)</f>
        <v>1067277.4559180001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>
        <v>416876</v>
      </c>
      <c r="D134" s="27">
        <v>411194</v>
      </c>
      <c r="E134" s="27">
        <v>153348</v>
      </c>
      <c r="F134" s="27">
        <v>377719</v>
      </c>
      <c r="G134" s="27">
        <f>SUM(C134:F134)</f>
        <v>1359137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14548</v>
      </c>
      <c r="G138" s="27">
        <f>SUM(C138:F138)</f>
        <v>14548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235</v>
      </c>
      <c r="G139" s="27">
        <f>SUM(C139:F139)</f>
        <v>235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>
        <v>1127</v>
      </c>
      <c r="E146" s="27">
        <v>0</v>
      </c>
      <c r="F146" s="24">
        <v>621</v>
      </c>
      <c r="G146" s="27">
        <f>SUM(C146:F146)</f>
        <v>1748</v>
      </c>
    </row>
    <row r="147" spans="2:8" x14ac:dyDescent="0.25">
      <c r="B147" s="14" t="s">
        <v>82</v>
      </c>
      <c r="C147" s="27">
        <v>0</v>
      </c>
      <c r="D147" s="27">
        <v>25.05</v>
      </c>
      <c r="E147" s="27">
        <v>0</v>
      </c>
      <c r="F147" s="24">
        <v>7.5824999999999996</v>
      </c>
      <c r="G147" s="11">
        <f>SUM(C147:F147)</f>
        <v>32.6325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27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27">
        <v>0</v>
      </c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>
        <v>91</v>
      </c>
      <c r="E154" s="27">
        <v>0</v>
      </c>
      <c r="F154" s="27">
        <v>0</v>
      </c>
      <c r="G154" s="27">
        <f>SUM(C154:F154)</f>
        <v>91</v>
      </c>
      <c r="H154"/>
    </row>
    <row r="155" spans="2:8" x14ac:dyDescent="0.25">
      <c r="B155" s="14" t="s">
        <v>88</v>
      </c>
      <c r="C155" s="27">
        <v>0</v>
      </c>
      <c r="D155" s="27">
        <v>1.19</v>
      </c>
      <c r="E155" s="27">
        <v>0</v>
      </c>
      <c r="F155" s="27">
        <v>0</v>
      </c>
      <c r="G155" s="11">
        <f>SUM(C155:F155)</f>
        <v>1.19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1218</v>
      </c>
      <c r="E158" s="19"/>
      <c r="F158" s="19">
        <f t="shared" ref="F158:F159" si="5">+F146+F154</f>
        <v>621</v>
      </c>
      <c r="G158" s="19">
        <f>SUM(C158:F158)</f>
        <v>1839</v>
      </c>
    </row>
    <row r="159" spans="2:8" x14ac:dyDescent="0.25">
      <c r="B159" s="18" t="s">
        <v>91</v>
      </c>
      <c r="C159" s="19">
        <v>0</v>
      </c>
      <c r="D159" s="19">
        <f>D147+D151+D155</f>
        <v>26.240000000000002</v>
      </c>
      <c r="E159" s="19"/>
      <c r="F159" s="19">
        <f t="shared" si="5"/>
        <v>7.5824999999999996</v>
      </c>
      <c r="G159" s="22">
        <f>SUM(C159:F159)</f>
        <v>33.822500000000005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>
        <v>3249</v>
      </c>
      <c r="D162" s="27">
        <v>11386</v>
      </c>
      <c r="E162" s="27">
        <v>7524</v>
      </c>
      <c r="F162" s="27">
        <v>40090</v>
      </c>
      <c r="G162" s="27">
        <f>SUM(C162:F162)</f>
        <v>62249</v>
      </c>
    </row>
    <row r="163" spans="2:8" x14ac:dyDescent="0.25">
      <c r="B163" s="14" t="s">
        <v>88</v>
      </c>
      <c r="C163" s="27">
        <f>74767323/1000000</f>
        <v>74.767323000000005</v>
      </c>
      <c r="D163" s="27">
        <v>52.976230999999999</v>
      </c>
      <c r="E163" s="27">
        <v>134.19237899999999</v>
      </c>
      <c r="F163" s="27">
        <v>251.179541</v>
      </c>
      <c r="G163" s="11">
        <f>SUM(C163:F163)</f>
        <v>513.11547399999995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659</v>
      </c>
      <c r="D167" s="27">
        <v>2150</v>
      </c>
      <c r="E167" s="27">
        <v>72</v>
      </c>
      <c r="F167" s="27">
        <v>501</v>
      </c>
      <c r="G167" s="27">
        <f>SUM(C167:F167)</f>
        <v>3382</v>
      </c>
    </row>
    <row r="168" spans="2:8" x14ac:dyDescent="0.25">
      <c r="B168" s="14" t="s">
        <v>96</v>
      </c>
      <c r="C168" s="27">
        <f>23065000/1000000</f>
        <v>23.065000000000001</v>
      </c>
      <c r="D168" s="27">
        <v>47.216000000000001</v>
      </c>
      <c r="E168" s="27">
        <v>2.5</v>
      </c>
      <c r="F168" s="27">
        <v>18.425000000000001</v>
      </c>
      <c r="G168" s="11">
        <f>SUM(C168:F168)</f>
        <v>91.206000000000003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2101</v>
      </c>
      <c r="D171" s="27">
        <v>196</v>
      </c>
      <c r="E171" s="27">
        <v>85</v>
      </c>
      <c r="F171" s="27">
        <v>442</v>
      </c>
      <c r="G171" s="27">
        <f>SUM(C171:F171)</f>
        <v>2824</v>
      </c>
    </row>
    <row r="172" spans="2:8" x14ac:dyDescent="0.25">
      <c r="B172" s="14" t="s">
        <v>96</v>
      </c>
      <c r="C172" s="27">
        <f>73535000/1000000</f>
        <v>73.534999999999997</v>
      </c>
      <c r="D172" s="27">
        <v>4.1159999999999997</v>
      </c>
      <c r="E172" s="27">
        <v>2.1</v>
      </c>
      <c r="F172" s="27">
        <v>11.045</v>
      </c>
      <c r="G172" s="11">
        <f>SUM(C172:F172)</f>
        <v>90.795999999999992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330</v>
      </c>
      <c r="D175" s="27">
        <v>353</v>
      </c>
      <c r="E175" s="27">
        <v>235</v>
      </c>
      <c r="F175" s="27">
        <v>50</v>
      </c>
      <c r="G175" s="27">
        <f>SUM(C175:F175)</f>
        <v>968</v>
      </c>
    </row>
    <row r="176" spans="2:8" x14ac:dyDescent="0.25">
      <c r="B176" s="14" t="s">
        <v>96</v>
      </c>
      <c r="C176" s="27">
        <f>34660000/1000000</f>
        <v>34.659999999999997</v>
      </c>
      <c r="D176" s="27">
        <v>36.65</v>
      </c>
      <c r="E176" s="27">
        <v>12.79</v>
      </c>
      <c r="F176" s="27">
        <v>5.15</v>
      </c>
      <c r="G176" s="11">
        <f>SUM(C176:F176)</f>
        <v>89.25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322</v>
      </c>
      <c r="D179" s="27">
        <v>42</v>
      </c>
      <c r="E179" s="27">
        <v>0</v>
      </c>
      <c r="F179" s="27">
        <v>0</v>
      </c>
      <c r="G179" s="27">
        <f>SUM(C179:F179)</f>
        <v>364</v>
      </c>
    </row>
    <row r="180" spans="2:8" x14ac:dyDescent="0.25">
      <c r="B180" s="14" t="s">
        <v>96</v>
      </c>
      <c r="C180" s="27">
        <f>13060000/1000000</f>
        <v>13.06</v>
      </c>
      <c r="D180" s="27">
        <v>4.1819600000000001</v>
      </c>
      <c r="E180" s="27">
        <v>0</v>
      </c>
      <c r="F180" s="27">
        <v>0</v>
      </c>
      <c r="G180" s="11">
        <f>SUM(C180:F180)</f>
        <v>17.241959999999999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3412</v>
      </c>
      <c r="D183" s="19">
        <f>D167+D171+D175+D179</f>
        <v>2741</v>
      </c>
      <c r="E183" s="19">
        <v>392</v>
      </c>
      <c r="F183" s="19">
        <f>+F179+F175+F171+F167</f>
        <v>993</v>
      </c>
      <c r="G183" s="19">
        <f>SUM(C183:F183)</f>
        <v>7538</v>
      </c>
    </row>
    <row r="184" spans="2:8" x14ac:dyDescent="0.25">
      <c r="B184" s="18" t="s">
        <v>103</v>
      </c>
      <c r="C184" s="19">
        <f>+C180+C176+C172+C168</f>
        <v>144.32</v>
      </c>
      <c r="D184" s="19">
        <f>D168+D172+D176+D180</f>
        <v>92.163960000000003</v>
      </c>
      <c r="E184" s="19">
        <v>17.39</v>
      </c>
      <c r="F184" s="19">
        <f>+F180+F176+F172+F168</f>
        <v>34.620000000000005</v>
      </c>
      <c r="G184" s="22">
        <f>SUM(C184:F184)</f>
        <v>288.49396000000002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>
        <v>5323</v>
      </c>
      <c r="D187" s="27">
        <v>0</v>
      </c>
      <c r="E187" s="27">
        <v>65</v>
      </c>
      <c r="F187" s="27">
        <v>41704</v>
      </c>
      <c r="G187" s="27">
        <f>SUM(C187:F187)</f>
        <v>47092</v>
      </c>
    </row>
    <row r="188" spans="2:8" x14ac:dyDescent="0.25">
      <c r="B188" s="14" t="s">
        <v>106</v>
      </c>
      <c r="C188" s="27">
        <f>67413825/1000000</f>
        <v>67.413825000000003</v>
      </c>
      <c r="D188" s="27">
        <v>0</v>
      </c>
      <c r="E188" s="27">
        <v>2.5099999999999998</v>
      </c>
      <c r="F188" s="27">
        <v>293.38204099999996</v>
      </c>
      <c r="G188" s="11">
        <f>SUM(C188:F188)</f>
        <v>363.30586599999998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11984</v>
      </c>
      <c r="D191" s="19">
        <f>+D187+D183+D162+D158</f>
        <v>15345</v>
      </c>
      <c r="E191" s="19">
        <v>7981</v>
      </c>
      <c r="F191" s="19">
        <f>F158+F162+F183+F187</f>
        <v>83408</v>
      </c>
      <c r="G191" s="19">
        <f>SUM(C191:F191)</f>
        <v>118718</v>
      </c>
    </row>
    <row r="192" spans="2:8" x14ac:dyDescent="0.25">
      <c r="B192" s="18" t="s">
        <v>109</v>
      </c>
      <c r="C192" s="19">
        <f>C188+C163+C184</f>
        <v>286.501148</v>
      </c>
      <c r="D192" s="19">
        <f>+D188+D184+D163+D159</f>
        <v>171.38019100000002</v>
      </c>
      <c r="E192" s="19">
        <v>154.09237899999999</v>
      </c>
      <c r="F192" s="19">
        <f>F159+F184+F163+F188</f>
        <v>586.76408199999992</v>
      </c>
      <c r="G192" s="22">
        <f>SUM(C192:F192)</f>
        <v>1198.7377999999999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A9E7-B741-4600-AFF7-187E362447AD}">
  <dimension ref="A1:BD196"/>
  <sheetViews>
    <sheetView zoomScaleNormal="100" workbookViewId="0">
      <selection activeCell="E191" sqref="E191:E19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/>
      <c r="D6" s="12"/>
      <c r="E6" s="12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2"/>
      <c r="F7" s="12"/>
      <c r="G7" s="12">
        <f>+F7+E7+D7+C7</f>
        <v>0</v>
      </c>
    </row>
    <row r="8" spans="1:7" x14ac:dyDescent="0.25">
      <c r="B8" s="18" t="s">
        <v>11</v>
      </c>
      <c r="C8" s="25">
        <f>SUM(C6:C7)</f>
        <v>0</v>
      </c>
      <c r="D8" s="25">
        <f>+D6+D7</f>
        <v>0</v>
      </c>
      <c r="E8" s="25"/>
      <c r="F8" s="25"/>
      <c r="G8" s="25">
        <f>+F8+E8+D8+C8</f>
        <v>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/>
      <c r="D12" s="17"/>
      <c r="E12" s="17"/>
      <c r="F12" s="17"/>
      <c r="G12" s="17">
        <f>SUM(C12:F12)</f>
        <v>0</v>
      </c>
    </row>
    <row r="13" spans="1:7" x14ac:dyDescent="0.25">
      <c r="B13" s="16" t="s">
        <v>15</v>
      </c>
      <c r="C13" s="17"/>
      <c r="D13" s="17"/>
      <c r="E13" s="17"/>
      <c r="F13" s="17"/>
      <c r="G13" s="17">
        <f>SUM(C13:F13)</f>
        <v>0</v>
      </c>
    </row>
    <row r="14" spans="1:7" x14ac:dyDescent="0.25">
      <c r="B14" s="18" t="s">
        <v>16</v>
      </c>
      <c r="C14" s="19"/>
      <c r="D14" s="19"/>
      <c r="E14" s="19"/>
      <c r="F14" s="19"/>
      <c r="G14" s="19">
        <f>SUM(C14:F14)</f>
        <v>0</v>
      </c>
    </row>
    <row r="15" spans="1:7" x14ac:dyDescent="0.25">
      <c r="B15" s="18" t="s">
        <v>17</v>
      </c>
      <c r="C15" s="19"/>
      <c r="D15" s="19"/>
      <c r="E15" s="19"/>
      <c r="F15" s="19"/>
      <c r="G15" s="19">
        <f>SUM(C15:F15)</f>
        <v>0</v>
      </c>
    </row>
    <row r="16" spans="1:7" x14ac:dyDescent="0.25">
      <c r="B16" s="18" t="s">
        <v>18</v>
      </c>
      <c r="C16" s="19"/>
      <c r="D16" s="19"/>
      <c r="E16" s="19"/>
      <c r="F16" s="19"/>
      <c r="G16" s="19">
        <f>SUM(C16:F16)</f>
        <v>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/>
      <c r="D19" s="27"/>
      <c r="E19" s="27"/>
      <c r="F19" s="27"/>
      <c r="G19" s="27">
        <f>SUM(C19:F19)</f>
        <v>0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0</v>
      </c>
      <c r="D21" s="19"/>
      <c r="E21" s="19"/>
      <c r="F21" s="19">
        <f>F16</f>
        <v>0</v>
      </c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19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+E24+E21</f>
        <v>0</v>
      </c>
      <c r="F27" s="19">
        <f>+F24+F21</f>
        <v>0</v>
      </c>
      <c r="G27" s="19">
        <f>SUM(C27:F27)</f>
        <v>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40"/>
      <c r="D35" s="40"/>
      <c r="E35" s="40"/>
      <c r="F35" s="40"/>
      <c r="G35" s="40">
        <f>SUM(C35:F35)</f>
        <v>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/>
      <c r="D40" s="27"/>
      <c r="E40" s="27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27"/>
      <c r="F41" s="27"/>
      <c r="G41" s="11">
        <f>SUM(C41:F41)</f>
        <v>0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/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/>
      <c r="D55" s="27"/>
      <c r="E55" s="27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7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27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7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27"/>
      <c r="F59" s="27"/>
      <c r="G59" s="11">
        <f t="shared" si="0"/>
        <v>0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0</v>
      </c>
      <c r="D73" s="19">
        <f>+D67+D61+D55</f>
        <v>0</v>
      </c>
      <c r="E73" s="19">
        <f>+E67+E61+E55</f>
        <v>0</v>
      </c>
      <c r="F73" s="19">
        <f t="shared" ref="F73:F74" si="1">+F55+F67</f>
        <v>0</v>
      </c>
      <c r="G73" s="19">
        <f>SUM(C73:F73)</f>
        <v>0</v>
      </c>
    </row>
    <row r="74" spans="2:8" x14ac:dyDescent="0.25">
      <c r="B74" s="18" t="s">
        <v>47</v>
      </c>
      <c r="C74" s="19">
        <f>+C56+C68</f>
        <v>0</v>
      </c>
      <c r="D74" s="19">
        <f>+D68+D62+D56</f>
        <v>0</v>
      </c>
      <c r="E74" s="19">
        <f>+E68+E62+E56</f>
        <v>0</v>
      </c>
      <c r="F74" s="19">
        <f t="shared" si="1"/>
        <v>0</v>
      </c>
      <c r="G74" s="22">
        <f>SUM(C74:F74)</f>
        <v>0</v>
      </c>
    </row>
    <row r="75" spans="2:8" x14ac:dyDescent="0.25">
      <c r="B75" s="18" t="s">
        <v>48</v>
      </c>
      <c r="C75" s="19">
        <v>14.546971966616701</v>
      </c>
      <c r="D75" s="19">
        <f>(+D57+D63+D69)/3</f>
        <v>0</v>
      </c>
      <c r="E75" s="19"/>
      <c r="F75" s="19">
        <f>(F57+F69)/2</f>
        <v>0</v>
      </c>
      <c r="G75" s="19">
        <f>AVERAGE(C75:F75)</f>
        <v>4.8489906555389002</v>
      </c>
    </row>
    <row r="76" spans="2:8" x14ac:dyDescent="0.25">
      <c r="B76" s="18" t="s">
        <v>49</v>
      </c>
      <c r="C76" s="19">
        <f>+C58+C70</f>
        <v>0</v>
      </c>
      <c r="D76" s="19">
        <f t="shared" ref="D76:E76" si="2">+D70+D64+D58</f>
        <v>0</v>
      </c>
      <c r="E76" s="19">
        <f t="shared" si="2"/>
        <v>0</v>
      </c>
      <c r="F76" s="19">
        <f t="shared" ref="F76:F77" si="3">+F58+F70</f>
        <v>0</v>
      </c>
      <c r="G76" s="19">
        <f>SUM(C76:F76)</f>
        <v>0</v>
      </c>
    </row>
    <row r="77" spans="2:8" x14ac:dyDescent="0.25">
      <c r="B77" s="18" t="s">
        <v>50</v>
      </c>
      <c r="C77" s="19">
        <f>+C59+C71</f>
        <v>0</v>
      </c>
      <c r="D77" s="19">
        <f>+D71+D65+D59</f>
        <v>0</v>
      </c>
      <c r="E77" s="19">
        <f>+E71+E65+E59</f>
        <v>0</v>
      </c>
      <c r="F77" s="19">
        <f t="shared" si="3"/>
        <v>0</v>
      </c>
      <c r="G77" s="22">
        <f>SUM(C77:F77)</f>
        <v>0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24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24"/>
      <c r="F85" s="24"/>
      <c r="G85" s="11">
        <f>SUM(C85:F85)</f>
        <v>0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/>
      <c r="D96" s="27">
        <v>0</v>
      </c>
      <c r="E96" s="27">
        <v>0</v>
      </c>
      <c r="F96" s="27"/>
      <c r="G96" s="27">
        <f>SUM(C96:F96)</f>
        <v>0</v>
      </c>
    </row>
    <row r="97" spans="2:8" x14ac:dyDescent="0.25">
      <c r="B97" s="14" t="s">
        <v>50</v>
      </c>
      <c r="C97" s="27"/>
      <c r="D97" s="27">
        <v>0</v>
      </c>
      <c r="E97" s="27">
        <v>0</v>
      </c>
      <c r="F97" s="27"/>
      <c r="G97" s="11">
        <f>SUM(C97:F97)</f>
        <v>0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/>
      <c r="D102" s="19">
        <f t="shared" ref="D102:D103" si="4">+D96+D90+D84</f>
        <v>0</v>
      </c>
      <c r="E102" s="19">
        <f>+E84</f>
        <v>0</v>
      </c>
      <c r="F102" s="19"/>
      <c r="G102" s="19">
        <f>SUM(C102:F102)</f>
        <v>0</v>
      </c>
    </row>
    <row r="103" spans="2:8" x14ac:dyDescent="0.25">
      <c r="B103" s="18" t="s">
        <v>50</v>
      </c>
      <c r="C103" s="19">
        <f>+C97+C85</f>
        <v>0</v>
      </c>
      <c r="D103" s="19">
        <f t="shared" si="4"/>
        <v>0</v>
      </c>
      <c r="E103" s="19">
        <f>+E85</f>
        <v>0</v>
      </c>
      <c r="F103" s="19"/>
      <c r="G103" s="22">
        <f>SUM(C103:F103)</f>
        <v>0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/>
      <c r="D107" s="13"/>
      <c r="E107" s="66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66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66"/>
      <c r="F109" s="13"/>
      <c r="G109" s="13" t="e">
        <f>AVERAGE(C109:F109)</f>
        <v>#DIV/0!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/>
      <c r="D111" s="13"/>
      <c r="E111" s="66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66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66"/>
      <c r="F113" s="13"/>
      <c r="G113" s="13" t="e">
        <f>AVERAGE(C113:F113)</f>
        <v>#DIV/0!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/>
      <c r="D116" s="13"/>
      <c r="E116" s="66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66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66"/>
      <c r="F118" s="13"/>
      <c r="G118" s="13" t="e">
        <f>AVERAGE(C118:F118)</f>
        <v>#DIV/0!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/>
      <c r="E120" s="66"/>
      <c r="F120" s="13"/>
      <c r="G120" s="13" t="e">
        <f>AVERAGE(C120:F120)</f>
        <v>#DIV/0!</v>
      </c>
    </row>
    <row r="121" spans="2:9" x14ac:dyDescent="0.25">
      <c r="B121" s="14" t="s">
        <v>60</v>
      </c>
      <c r="C121" s="13"/>
      <c r="D121" s="13"/>
      <c r="E121" s="66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66"/>
      <c r="F122" s="13"/>
      <c r="G122" s="13" t="e">
        <f>AVERAGE(C122:F122)</f>
        <v>#DIV/0!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/>
      <c r="D127" s="11"/>
      <c r="E127" s="11"/>
      <c r="F127" s="11"/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/>
      <c r="E146" s="27"/>
      <c r="F146" s="24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4"/>
      <c r="G147" s="11">
        <f>SUM(C147:F147)</f>
        <v>0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/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/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/>
      <c r="E154" s="67"/>
      <c r="F154" s="27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27">
        <v>0</v>
      </c>
      <c r="D155" s="27"/>
      <c r="E155" s="65"/>
      <c r="F155" s="27">
        <v>0</v>
      </c>
      <c r="G155" s="11">
        <f>SUM(C155:F155)</f>
        <v>0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0</v>
      </c>
      <c r="E158" s="19"/>
      <c r="F158" s="19">
        <f t="shared" ref="F158:F159" si="5">+F146+F154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19">
        <f>D147+D151+D155</f>
        <v>0</v>
      </c>
      <c r="E159" s="19"/>
      <c r="F159" s="19">
        <f t="shared" si="5"/>
        <v>0</v>
      </c>
      <c r="G159" s="22">
        <f>SUM(C159:F159)</f>
        <v>0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/>
      <c r="D162" s="27"/>
      <c r="E162" s="27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/>
      <c r="D167" s="27"/>
      <c r="E167" s="27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/>
      <c r="D171" s="27"/>
      <c r="E171" s="27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/>
      <c r="D175" s="27"/>
      <c r="E175" s="27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/>
      <c r="D179" s="27"/>
      <c r="E179" s="27">
        <v>0</v>
      </c>
      <c r="F179" s="27">
        <v>0</v>
      </c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>
        <v>0</v>
      </c>
      <c r="F180" s="27">
        <v>0</v>
      </c>
      <c r="G180" s="11">
        <f>SUM(C180:F180)</f>
        <v>0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0</v>
      </c>
      <c r="D183" s="19">
        <f>D167+D171+D175+D179</f>
        <v>0</v>
      </c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>
        <f>+C180+C176+C172+C168</f>
        <v>0</v>
      </c>
      <c r="D184" s="19">
        <f>D168+D172+D176+D180</f>
        <v>0</v>
      </c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/>
      <c r="D187" s="27"/>
      <c r="E187" s="27"/>
      <c r="F187" s="27">
        <f>F166+F171+F175+F179+F162</f>
        <v>0</v>
      </c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>
        <f>F167+F172+F176+F180+F163</f>
        <v>0</v>
      </c>
      <c r="G188" s="11">
        <f>SUM(C188:F188)</f>
        <v>0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0</v>
      </c>
      <c r="D191" s="19">
        <f>+D187+D183+D162+D158</f>
        <v>0</v>
      </c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19">
        <f>+D188+D184+D163+D159</f>
        <v>0</v>
      </c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85CC-ADF1-424E-8D16-D42D0B553DCF}">
  <dimension ref="A1:BD196"/>
  <sheetViews>
    <sheetView zoomScaleNormal="100" workbookViewId="0">
      <selection activeCell="E191" sqref="E191:E19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/>
      <c r="D6" s="12"/>
      <c r="E6" s="12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2"/>
      <c r="F7" s="12"/>
      <c r="G7" s="12">
        <f>+F7+E7+D7+C7</f>
        <v>0</v>
      </c>
    </row>
    <row r="8" spans="1:7" x14ac:dyDescent="0.25">
      <c r="B8" s="18" t="s">
        <v>11</v>
      </c>
      <c r="C8" s="25">
        <f>SUM(C6:C7)</f>
        <v>0</v>
      </c>
      <c r="D8" s="25">
        <f>+D6+D7</f>
        <v>0</v>
      </c>
      <c r="E8" s="25"/>
      <c r="F8" s="25"/>
      <c r="G8" s="25">
        <f>+F8+E8+D8+C8</f>
        <v>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/>
      <c r="D12" s="17"/>
      <c r="E12" s="17"/>
      <c r="F12" s="17"/>
      <c r="G12" s="17">
        <f>SUM(C12:F12)</f>
        <v>0</v>
      </c>
    </row>
    <row r="13" spans="1:7" x14ac:dyDescent="0.25">
      <c r="B13" s="16" t="s">
        <v>15</v>
      </c>
      <c r="C13" s="17"/>
      <c r="D13" s="17"/>
      <c r="E13" s="17"/>
      <c r="F13" s="17"/>
      <c r="G13" s="17">
        <f>SUM(C13:F13)</f>
        <v>0</v>
      </c>
    </row>
    <row r="14" spans="1:7" x14ac:dyDescent="0.25">
      <c r="B14" s="18" t="s">
        <v>16</v>
      </c>
      <c r="C14" s="19"/>
      <c r="D14" s="19"/>
      <c r="E14" s="19"/>
      <c r="F14" s="19"/>
      <c r="G14" s="19">
        <f>SUM(C14:F14)</f>
        <v>0</v>
      </c>
    </row>
    <row r="15" spans="1:7" x14ac:dyDescent="0.25">
      <c r="B15" s="18" t="s">
        <v>17</v>
      </c>
      <c r="C15" s="19"/>
      <c r="D15" s="19"/>
      <c r="E15" s="19"/>
      <c r="F15" s="19"/>
      <c r="G15" s="19">
        <f>SUM(C15:F15)</f>
        <v>0</v>
      </c>
    </row>
    <row r="16" spans="1:7" x14ac:dyDescent="0.25">
      <c r="B16" s="18" t="s">
        <v>18</v>
      </c>
      <c r="C16" s="19"/>
      <c r="D16" s="19"/>
      <c r="E16" s="19"/>
      <c r="F16" s="19"/>
      <c r="G16" s="19">
        <f>SUM(C16:F16)</f>
        <v>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/>
      <c r="D19" s="27"/>
      <c r="E19" s="27"/>
      <c r="F19" s="27"/>
      <c r="G19" s="27">
        <f>SUM(C19:F19)</f>
        <v>0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0</v>
      </c>
      <c r="D21" s="19"/>
      <c r="E21" s="19"/>
      <c r="F21" s="19">
        <f>F16</f>
        <v>0</v>
      </c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19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+E24+E21</f>
        <v>0</v>
      </c>
      <c r="F27" s="19">
        <f>+F24+F21</f>
        <v>0</v>
      </c>
      <c r="G27" s="19">
        <f>SUM(C27:F27)</f>
        <v>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40"/>
      <c r="D35" s="40"/>
      <c r="E35" s="40"/>
      <c r="F35" s="40"/>
      <c r="G35" s="40">
        <f>SUM(C35:F35)</f>
        <v>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/>
      <c r="D40" s="27"/>
      <c r="E40" s="27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27"/>
      <c r="F41" s="27"/>
      <c r="G41" s="11">
        <f>SUM(C41:F41)</f>
        <v>0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/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/>
      <c r="D55" s="27"/>
      <c r="E55" s="27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7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27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7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27"/>
      <c r="F59" s="27"/>
      <c r="G59" s="11">
        <f t="shared" si="0"/>
        <v>0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0</v>
      </c>
      <c r="D73" s="19">
        <f>+D67+D61+D55</f>
        <v>0</v>
      </c>
      <c r="E73" s="19">
        <f>+E67+E61+E55</f>
        <v>0</v>
      </c>
      <c r="F73" s="19">
        <f t="shared" ref="F73:F74" si="1">+F55+F67</f>
        <v>0</v>
      </c>
      <c r="G73" s="19">
        <f>SUM(C73:F73)</f>
        <v>0</v>
      </c>
    </row>
    <row r="74" spans="2:8" x14ac:dyDescent="0.25">
      <c r="B74" s="18" t="s">
        <v>47</v>
      </c>
      <c r="C74" s="19">
        <f>+C56+C68</f>
        <v>0</v>
      </c>
      <c r="D74" s="19">
        <f>+D68+D62+D56</f>
        <v>0</v>
      </c>
      <c r="E74" s="19">
        <f>+E68+E62+E56</f>
        <v>0</v>
      </c>
      <c r="F74" s="19">
        <f t="shared" si="1"/>
        <v>0</v>
      </c>
      <c r="G74" s="22">
        <f>SUM(C74:F74)</f>
        <v>0</v>
      </c>
    </row>
    <row r="75" spans="2:8" x14ac:dyDescent="0.25">
      <c r="B75" s="18" t="s">
        <v>48</v>
      </c>
      <c r="C75" s="19">
        <v>14.546971966616701</v>
      </c>
      <c r="D75" s="19">
        <f>(+D57+D63+D69)/3</f>
        <v>0</v>
      </c>
      <c r="E75" s="19"/>
      <c r="F75" s="19">
        <f>(F57+F69)/2</f>
        <v>0</v>
      </c>
      <c r="G75" s="19">
        <f>AVERAGE(C75:F75)</f>
        <v>4.8489906555389002</v>
      </c>
    </row>
    <row r="76" spans="2:8" x14ac:dyDescent="0.25">
      <c r="B76" s="18" t="s">
        <v>49</v>
      </c>
      <c r="C76" s="19">
        <f>+C58+C70</f>
        <v>0</v>
      </c>
      <c r="D76" s="19">
        <f t="shared" ref="D76:E76" si="2">+D70+D64+D58</f>
        <v>0</v>
      </c>
      <c r="E76" s="19">
        <f t="shared" si="2"/>
        <v>0</v>
      </c>
      <c r="F76" s="19">
        <f t="shared" ref="F76:F77" si="3">+F58+F70</f>
        <v>0</v>
      </c>
      <c r="G76" s="19">
        <f>SUM(C76:F76)</f>
        <v>0</v>
      </c>
    </row>
    <row r="77" spans="2:8" x14ac:dyDescent="0.25">
      <c r="B77" s="18" t="s">
        <v>50</v>
      </c>
      <c r="C77" s="19">
        <f>+C59+C71</f>
        <v>0</v>
      </c>
      <c r="D77" s="19">
        <f>+D71+D65+D59</f>
        <v>0</v>
      </c>
      <c r="E77" s="19">
        <f>+E71+E65+E59</f>
        <v>0</v>
      </c>
      <c r="F77" s="19">
        <f t="shared" si="3"/>
        <v>0</v>
      </c>
      <c r="G77" s="22">
        <f>SUM(C77:F77)</f>
        <v>0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24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24"/>
      <c r="F85" s="24"/>
      <c r="G85" s="11">
        <f>SUM(C85:F85)</f>
        <v>0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/>
      <c r="D96" s="27">
        <v>0</v>
      </c>
      <c r="E96" s="27">
        <v>0</v>
      </c>
      <c r="F96" s="27"/>
      <c r="G96" s="27">
        <f>SUM(C96:F96)</f>
        <v>0</v>
      </c>
    </row>
    <row r="97" spans="2:8" x14ac:dyDescent="0.25">
      <c r="B97" s="14" t="s">
        <v>50</v>
      </c>
      <c r="C97" s="27"/>
      <c r="D97" s="27">
        <v>0</v>
      </c>
      <c r="E97" s="27">
        <v>0</v>
      </c>
      <c r="F97" s="27"/>
      <c r="G97" s="11">
        <f>SUM(C97:F97)</f>
        <v>0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/>
      <c r="D102" s="19">
        <f t="shared" ref="D102:D103" si="4">+D96+D90+D84</f>
        <v>0</v>
      </c>
      <c r="E102" s="19">
        <f>+E84</f>
        <v>0</v>
      </c>
      <c r="F102" s="19"/>
      <c r="G102" s="19">
        <f>SUM(C102:F102)</f>
        <v>0</v>
      </c>
    </row>
    <row r="103" spans="2:8" x14ac:dyDescent="0.25">
      <c r="B103" s="18" t="s">
        <v>50</v>
      </c>
      <c r="C103" s="19">
        <f>+C97+C85</f>
        <v>0</v>
      </c>
      <c r="D103" s="19">
        <f t="shared" si="4"/>
        <v>0</v>
      </c>
      <c r="E103" s="19">
        <f>+E85</f>
        <v>0</v>
      </c>
      <c r="F103" s="19"/>
      <c r="G103" s="22">
        <f>SUM(C103:F103)</f>
        <v>0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/>
      <c r="D107" s="13"/>
      <c r="E107" s="66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66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66"/>
      <c r="F109" s="13"/>
      <c r="G109" s="13" t="e">
        <f>AVERAGE(C109:F109)</f>
        <v>#DIV/0!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/>
      <c r="D111" s="13"/>
      <c r="E111" s="66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66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66"/>
      <c r="F113" s="13"/>
      <c r="G113" s="13" t="e">
        <f>AVERAGE(C113:F113)</f>
        <v>#DIV/0!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/>
      <c r="D116" s="13"/>
      <c r="E116" s="66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66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66"/>
      <c r="F118" s="13"/>
      <c r="G118" s="13" t="e">
        <f>AVERAGE(C118:F118)</f>
        <v>#DIV/0!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/>
      <c r="E120" s="66"/>
      <c r="F120" s="13"/>
      <c r="G120" s="13" t="e">
        <f>AVERAGE(C120:F120)</f>
        <v>#DIV/0!</v>
      </c>
    </row>
    <row r="121" spans="2:9" x14ac:dyDescent="0.25">
      <c r="B121" s="14" t="s">
        <v>60</v>
      </c>
      <c r="C121" s="13"/>
      <c r="D121" s="13"/>
      <c r="E121" s="66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66"/>
      <c r="F122" s="13"/>
      <c r="G122" s="13" t="e">
        <f>AVERAGE(C122:F122)</f>
        <v>#DIV/0!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/>
      <c r="D127" s="11"/>
      <c r="E127" s="11"/>
      <c r="F127" s="11"/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/>
      <c r="E146" s="27"/>
      <c r="F146" s="24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4"/>
      <c r="G147" s="11">
        <f>SUM(C147:F147)</f>
        <v>0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/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/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/>
      <c r="E154" s="67"/>
      <c r="F154" s="27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27">
        <v>0</v>
      </c>
      <c r="D155" s="27"/>
      <c r="E155" s="65"/>
      <c r="F155" s="27">
        <v>0</v>
      </c>
      <c r="G155" s="11">
        <f>SUM(C155:F155)</f>
        <v>0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0</v>
      </c>
      <c r="E158" s="19"/>
      <c r="F158" s="19">
        <f t="shared" ref="F158:F159" si="5">+F146+F154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19">
        <f>D147+D151+D155</f>
        <v>0</v>
      </c>
      <c r="E159" s="19"/>
      <c r="F159" s="19">
        <f t="shared" si="5"/>
        <v>0</v>
      </c>
      <c r="G159" s="22">
        <f>SUM(C159:F159)</f>
        <v>0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/>
      <c r="D162" s="27"/>
      <c r="E162" s="27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/>
      <c r="D167" s="27"/>
      <c r="E167" s="27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/>
      <c r="D171" s="27"/>
      <c r="E171" s="27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/>
      <c r="D175" s="27"/>
      <c r="E175" s="27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/>
      <c r="D179" s="27"/>
      <c r="E179" s="27">
        <v>0</v>
      </c>
      <c r="F179" s="27">
        <v>0</v>
      </c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>
        <v>0</v>
      </c>
      <c r="F180" s="27">
        <v>0</v>
      </c>
      <c r="G180" s="11">
        <f>SUM(C180:F180)</f>
        <v>0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0</v>
      </c>
      <c r="D183" s="19">
        <f>D167+D171+D175+D179</f>
        <v>0</v>
      </c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>
        <f>+C180+C176+C172+C168</f>
        <v>0</v>
      </c>
      <c r="D184" s="19">
        <f>D168+D172+D176+D180</f>
        <v>0</v>
      </c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/>
      <c r="D187" s="27"/>
      <c r="E187" s="27"/>
      <c r="F187" s="27">
        <f>F166+F171+F175+F179+F162</f>
        <v>0</v>
      </c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>
        <f>F167+F172+F176+F180+F163</f>
        <v>0</v>
      </c>
      <c r="G188" s="11">
        <f>SUM(C188:F188)</f>
        <v>0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0</v>
      </c>
      <c r="D191" s="19">
        <f>+D187+D183+D162+D158</f>
        <v>0</v>
      </c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19">
        <f>+D188+D184+D163+D159</f>
        <v>0</v>
      </c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635F-29EB-4B9C-BFF0-0CE90924F8F3}">
  <dimension ref="A1:BD196"/>
  <sheetViews>
    <sheetView zoomScaleNormal="100" workbookViewId="0">
      <selection activeCell="E191" sqref="E191:E19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/>
      <c r="D6" s="12"/>
      <c r="E6" s="12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2"/>
      <c r="F7" s="12"/>
      <c r="G7" s="12">
        <f>+F7+E7+D7+C7</f>
        <v>0</v>
      </c>
    </row>
    <row r="8" spans="1:7" x14ac:dyDescent="0.25">
      <c r="B8" s="18" t="s">
        <v>11</v>
      </c>
      <c r="C8" s="25">
        <f>SUM(C6:C7)</f>
        <v>0</v>
      </c>
      <c r="D8" s="25">
        <f>+D6+D7</f>
        <v>0</v>
      </c>
      <c r="E8" s="25"/>
      <c r="F8" s="25"/>
      <c r="G8" s="25">
        <f>+F8+E8+D8+C8</f>
        <v>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/>
      <c r="D12" s="17"/>
      <c r="E12" s="17"/>
      <c r="F12" s="17"/>
      <c r="G12" s="17">
        <f>SUM(C12:F12)</f>
        <v>0</v>
      </c>
    </row>
    <row r="13" spans="1:7" x14ac:dyDescent="0.25">
      <c r="B13" s="16" t="s">
        <v>15</v>
      </c>
      <c r="C13" s="17"/>
      <c r="D13" s="17"/>
      <c r="E13" s="17"/>
      <c r="F13" s="17"/>
      <c r="G13" s="17">
        <f>SUM(C13:F13)</f>
        <v>0</v>
      </c>
    </row>
    <row r="14" spans="1:7" x14ac:dyDescent="0.25">
      <c r="B14" s="18" t="s">
        <v>16</v>
      </c>
      <c r="C14" s="19"/>
      <c r="D14" s="19"/>
      <c r="E14" s="19"/>
      <c r="F14" s="19"/>
      <c r="G14" s="19">
        <f>SUM(C14:F14)</f>
        <v>0</v>
      </c>
    </row>
    <row r="15" spans="1:7" x14ac:dyDescent="0.25">
      <c r="B15" s="18" t="s">
        <v>17</v>
      </c>
      <c r="C15" s="19"/>
      <c r="D15" s="19"/>
      <c r="E15" s="19"/>
      <c r="F15" s="19"/>
      <c r="G15" s="19">
        <f>SUM(C15:F15)</f>
        <v>0</v>
      </c>
    </row>
    <row r="16" spans="1:7" x14ac:dyDescent="0.25">
      <c r="B16" s="18" t="s">
        <v>18</v>
      </c>
      <c r="C16" s="19"/>
      <c r="D16" s="19"/>
      <c r="E16" s="19"/>
      <c r="F16" s="19"/>
      <c r="G16" s="19">
        <f>SUM(C16:F16)</f>
        <v>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/>
      <c r="D19" s="27"/>
      <c r="E19" s="27"/>
      <c r="F19" s="27"/>
      <c r="G19" s="27">
        <f>SUM(C19:F19)</f>
        <v>0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0</v>
      </c>
      <c r="D21" s="19"/>
      <c r="E21" s="19"/>
      <c r="F21" s="19">
        <f>F16</f>
        <v>0</v>
      </c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19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+E24+E21</f>
        <v>0</v>
      </c>
      <c r="F27" s="19">
        <f>+F24+F21</f>
        <v>0</v>
      </c>
      <c r="G27" s="19">
        <f>SUM(C27:F27)</f>
        <v>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40"/>
      <c r="D35" s="40"/>
      <c r="E35" s="40"/>
      <c r="F35" s="40"/>
      <c r="G35" s="40">
        <f>SUM(C35:F35)</f>
        <v>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/>
      <c r="D40" s="27"/>
      <c r="E40" s="27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27"/>
      <c r="F41" s="27"/>
      <c r="G41" s="11">
        <f>SUM(C41:F41)</f>
        <v>0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/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/>
      <c r="D55" s="27"/>
      <c r="E55" s="27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7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27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7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27"/>
      <c r="F59" s="27"/>
      <c r="G59" s="11">
        <f t="shared" si="0"/>
        <v>0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0</v>
      </c>
      <c r="D73" s="19">
        <f>+D67+D61+D55</f>
        <v>0</v>
      </c>
      <c r="E73" s="19">
        <f>+E67+E61+E55</f>
        <v>0</v>
      </c>
      <c r="F73" s="19">
        <f t="shared" ref="F73:F74" si="1">+F55+F67</f>
        <v>0</v>
      </c>
      <c r="G73" s="19">
        <f>SUM(C73:F73)</f>
        <v>0</v>
      </c>
    </row>
    <row r="74" spans="2:8" x14ac:dyDescent="0.25">
      <c r="B74" s="18" t="s">
        <v>47</v>
      </c>
      <c r="C74" s="19">
        <f>+C56+C68</f>
        <v>0</v>
      </c>
      <c r="D74" s="19">
        <f>+D68+D62+D56</f>
        <v>0</v>
      </c>
      <c r="E74" s="19">
        <f>+E68+E62+E56</f>
        <v>0</v>
      </c>
      <c r="F74" s="19">
        <f t="shared" si="1"/>
        <v>0</v>
      </c>
      <c r="G74" s="22">
        <f>SUM(C74:F74)</f>
        <v>0</v>
      </c>
    </row>
    <row r="75" spans="2:8" x14ac:dyDescent="0.25">
      <c r="B75" s="18" t="s">
        <v>48</v>
      </c>
      <c r="C75" s="19">
        <v>14.546971966616701</v>
      </c>
      <c r="D75" s="19">
        <f>(+D57+D63+D69)/3</f>
        <v>0</v>
      </c>
      <c r="E75" s="19"/>
      <c r="F75" s="19">
        <f>(F57+F69)/2</f>
        <v>0</v>
      </c>
      <c r="G75" s="19">
        <f>AVERAGE(C75:F75)</f>
        <v>4.8489906555389002</v>
      </c>
    </row>
    <row r="76" spans="2:8" x14ac:dyDescent="0.25">
      <c r="B76" s="18" t="s">
        <v>49</v>
      </c>
      <c r="C76" s="19">
        <f>+C58+C70</f>
        <v>0</v>
      </c>
      <c r="D76" s="19">
        <f t="shared" ref="D76:E76" si="2">+D70+D64+D58</f>
        <v>0</v>
      </c>
      <c r="E76" s="19">
        <f t="shared" si="2"/>
        <v>0</v>
      </c>
      <c r="F76" s="19">
        <f t="shared" ref="F76:F77" si="3">+F58+F70</f>
        <v>0</v>
      </c>
      <c r="G76" s="19">
        <f>SUM(C76:F76)</f>
        <v>0</v>
      </c>
    </row>
    <row r="77" spans="2:8" x14ac:dyDescent="0.25">
      <c r="B77" s="18" t="s">
        <v>50</v>
      </c>
      <c r="C77" s="19">
        <f>+C59+C71</f>
        <v>0</v>
      </c>
      <c r="D77" s="19">
        <f>+D71+D65+D59</f>
        <v>0</v>
      </c>
      <c r="E77" s="19">
        <f>+E71+E65+E59</f>
        <v>0</v>
      </c>
      <c r="F77" s="19">
        <f t="shared" si="3"/>
        <v>0</v>
      </c>
      <c r="G77" s="22">
        <f>SUM(C77:F77)</f>
        <v>0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24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24"/>
      <c r="F85" s="24"/>
      <c r="G85" s="11">
        <f>SUM(C85:F85)</f>
        <v>0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/>
      <c r="D96" s="27">
        <v>0</v>
      </c>
      <c r="E96" s="27">
        <v>0</v>
      </c>
      <c r="F96" s="27"/>
      <c r="G96" s="27">
        <f>SUM(C96:F96)</f>
        <v>0</v>
      </c>
    </row>
    <row r="97" spans="2:8" x14ac:dyDescent="0.25">
      <c r="B97" s="14" t="s">
        <v>50</v>
      </c>
      <c r="C97" s="27"/>
      <c r="D97" s="27">
        <v>0</v>
      </c>
      <c r="E97" s="27">
        <v>0</v>
      </c>
      <c r="F97" s="27"/>
      <c r="G97" s="11">
        <f>SUM(C97:F97)</f>
        <v>0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/>
      <c r="D102" s="19">
        <f t="shared" ref="D102:D103" si="4">+D96+D90+D84</f>
        <v>0</v>
      </c>
      <c r="E102" s="19">
        <f>+E84</f>
        <v>0</v>
      </c>
      <c r="F102" s="19"/>
      <c r="G102" s="19">
        <f>SUM(C102:F102)</f>
        <v>0</v>
      </c>
    </row>
    <row r="103" spans="2:8" x14ac:dyDescent="0.25">
      <c r="B103" s="18" t="s">
        <v>50</v>
      </c>
      <c r="C103" s="19">
        <f>+C97+C85</f>
        <v>0</v>
      </c>
      <c r="D103" s="19">
        <f t="shared" si="4"/>
        <v>0</v>
      </c>
      <c r="E103" s="19">
        <f>+E85</f>
        <v>0</v>
      </c>
      <c r="F103" s="19"/>
      <c r="G103" s="22">
        <f>SUM(C103:F103)</f>
        <v>0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/>
      <c r="D107" s="13"/>
      <c r="E107" s="66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66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66"/>
      <c r="F109" s="13"/>
      <c r="G109" s="13" t="e">
        <f>AVERAGE(C109:F109)</f>
        <v>#DIV/0!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/>
      <c r="D111" s="13"/>
      <c r="E111" s="66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66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66"/>
      <c r="F113" s="13"/>
      <c r="G113" s="13" t="e">
        <f>AVERAGE(C113:F113)</f>
        <v>#DIV/0!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/>
      <c r="D116" s="13"/>
      <c r="E116" s="66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66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66"/>
      <c r="F118" s="13"/>
      <c r="G118" s="13" t="e">
        <f>AVERAGE(C118:F118)</f>
        <v>#DIV/0!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/>
      <c r="E120" s="66"/>
      <c r="F120" s="13"/>
      <c r="G120" s="13" t="e">
        <f>AVERAGE(C120:F120)</f>
        <v>#DIV/0!</v>
      </c>
    </row>
    <row r="121" spans="2:9" x14ac:dyDescent="0.25">
      <c r="B121" s="14" t="s">
        <v>60</v>
      </c>
      <c r="C121" s="13"/>
      <c r="D121" s="13"/>
      <c r="E121" s="66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66"/>
      <c r="F122" s="13"/>
      <c r="G122" s="13" t="e">
        <f>AVERAGE(C122:F122)</f>
        <v>#DIV/0!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/>
      <c r="D127" s="11"/>
      <c r="E127" s="11"/>
      <c r="F127" s="11"/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/>
      <c r="E146" s="27"/>
      <c r="F146" s="24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4"/>
      <c r="G147" s="11">
        <f>SUM(C147:F147)</f>
        <v>0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/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/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/>
      <c r="E154" s="67"/>
      <c r="F154" s="27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27">
        <v>0</v>
      </c>
      <c r="D155" s="27"/>
      <c r="E155" s="65"/>
      <c r="F155" s="27">
        <v>0</v>
      </c>
      <c r="G155" s="11">
        <f>SUM(C155:F155)</f>
        <v>0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0</v>
      </c>
      <c r="E158" s="19"/>
      <c r="F158" s="19">
        <f t="shared" ref="F158:F159" si="5">+F146+F154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19">
        <f>D147+D151+D155</f>
        <v>0</v>
      </c>
      <c r="E159" s="19"/>
      <c r="F159" s="19">
        <f t="shared" si="5"/>
        <v>0</v>
      </c>
      <c r="G159" s="22">
        <f>SUM(C159:F159)</f>
        <v>0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/>
      <c r="D162" s="27"/>
      <c r="E162" s="27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/>
      <c r="D167" s="27"/>
      <c r="E167" s="27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/>
      <c r="D171" s="27"/>
      <c r="E171" s="27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/>
      <c r="D175" s="27"/>
      <c r="E175" s="27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/>
      <c r="D179" s="27"/>
      <c r="E179" s="27">
        <v>0</v>
      </c>
      <c r="F179" s="27">
        <v>0</v>
      </c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>
        <v>0</v>
      </c>
      <c r="F180" s="27">
        <v>0</v>
      </c>
      <c r="G180" s="11">
        <f>SUM(C180:F180)</f>
        <v>0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0</v>
      </c>
      <c r="D183" s="19">
        <f>D167+D171+D175+D179</f>
        <v>0</v>
      </c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>
        <f>+C180+C176+C172+C168</f>
        <v>0</v>
      </c>
      <c r="D184" s="19">
        <f>D168+D172+D176+D180</f>
        <v>0</v>
      </c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/>
      <c r="D187" s="27"/>
      <c r="E187" s="27"/>
      <c r="F187" s="27">
        <f>F166+F171+F175+F179+F162</f>
        <v>0</v>
      </c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>
        <f>F167+F172+F176+F180+F163</f>
        <v>0</v>
      </c>
      <c r="G188" s="11">
        <f>SUM(C188:F188)</f>
        <v>0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0</v>
      </c>
      <c r="D191" s="19">
        <f>+D187+D183+D162+D158</f>
        <v>0</v>
      </c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19">
        <f>+D188+D184+D163+D159</f>
        <v>0</v>
      </c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E549-439D-4E4C-B991-2620E3B92D88}">
  <dimension ref="A1:BD196"/>
  <sheetViews>
    <sheetView zoomScaleNormal="100" workbookViewId="0">
      <selection activeCell="E191" sqref="E191:E19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/>
      <c r="D6" s="12"/>
      <c r="E6" s="12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2"/>
      <c r="F7" s="12"/>
      <c r="G7" s="12">
        <f>+F7+E7+D7+C7</f>
        <v>0</v>
      </c>
    </row>
    <row r="8" spans="1:7" x14ac:dyDescent="0.25">
      <c r="B8" s="18" t="s">
        <v>11</v>
      </c>
      <c r="C8" s="25">
        <f>SUM(C6:C7)</f>
        <v>0</v>
      </c>
      <c r="D8" s="25">
        <f>+D6+D7</f>
        <v>0</v>
      </c>
      <c r="E8" s="25"/>
      <c r="F8" s="25"/>
      <c r="G8" s="25">
        <f>+F8+E8+D8+C8</f>
        <v>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/>
      <c r="D12" s="17"/>
      <c r="E12" s="17"/>
      <c r="F12" s="17"/>
      <c r="G12" s="17">
        <f>SUM(C12:F12)</f>
        <v>0</v>
      </c>
    </row>
    <row r="13" spans="1:7" x14ac:dyDescent="0.25">
      <c r="B13" s="16" t="s">
        <v>15</v>
      </c>
      <c r="C13" s="17"/>
      <c r="D13" s="17"/>
      <c r="E13" s="17"/>
      <c r="F13" s="17"/>
      <c r="G13" s="17">
        <f>SUM(C13:F13)</f>
        <v>0</v>
      </c>
    </row>
    <row r="14" spans="1:7" x14ac:dyDescent="0.25">
      <c r="B14" s="18" t="s">
        <v>16</v>
      </c>
      <c r="C14" s="19"/>
      <c r="D14" s="19"/>
      <c r="E14" s="19"/>
      <c r="F14" s="19"/>
      <c r="G14" s="19">
        <f>SUM(C14:F14)</f>
        <v>0</v>
      </c>
    </row>
    <row r="15" spans="1:7" x14ac:dyDescent="0.25">
      <c r="B15" s="18" t="s">
        <v>17</v>
      </c>
      <c r="C15" s="19"/>
      <c r="D15" s="19"/>
      <c r="E15" s="19"/>
      <c r="F15" s="19"/>
      <c r="G15" s="19">
        <f>SUM(C15:F15)</f>
        <v>0</v>
      </c>
    </row>
    <row r="16" spans="1:7" x14ac:dyDescent="0.25">
      <c r="B16" s="18" t="s">
        <v>18</v>
      </c>
      <c r="C16" s="19"/>
      <c r="D16" s="19"/>
      <c r="E16" s="19"/>
      <c r="F16" s="19"/>
      <c r="G16" s="19">
        <f>SUM(C16:F16)</f>
        <v>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/>
      <c r="D19" s="27"/>
      <c r="E19" s="27"/>
      <c r="F19" s="27"/>
      <c r="G19" s="27">
        <f>SUM(C19:F19)</f>
        <v>0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0</v>
      </c>
      <c r="D21" s="19"/>
      <c r="E21" s="19"/>
      <c r="F21" s="19">
        <f>F16</f>
        <v>0</v>
      </c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19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+E24+E21</f>
        <v>0</v>
      </c>
      <c r="F27" s="19">
        <f>+F24+F21</f>
        <v>0</v>
      </c>
      <c r="G27" s="19">
        <f>SUM(C27:F27)</f>
        <v>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40"/>
      <c r="D35" s="40"/>
      <c r="E35" s="40"/>
      <c r="F35" s="40"/>
      <c r="G35" s="40">
        <f>SUM(C35:F35)</f>
        <v>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/>
      <c r="D40" s="27"/>
      <c r="E40" s="27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27"/>
      <c r="F41" s="27"/>
      <c r="G41" s="11">
        <f>SUM(C41:F41)</f>
        <v>0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/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/>
      <c r="D55" s="27"/>
      <c r="E55" s="27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7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27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7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27"/>
      <c r="F59" s="27"/>
      <c r="G59" s="11">
        <f t="shared" si="0"/>
        <v>0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0</v>
      </c>
      <c r="D73" s="19">
        <f>+D67+D61+D55</f>
        <v>0</v>
      </c>
      <c r="E73" s="19">
        <f>+E67+E61+E55</f>
        <v>0</v>
      </c>
      <c r="F73" s="19">
        <f t="shared" ref="F73:F74" si="1">+F55+F67</f>
        <v>0</v>
      </c>
      <c r="G73" s="19">
        <f>SUM(C73:F73)</f>
        <v>0</v>
      </c>
    </row>
    <row r="74" spans="2:8" x14ac:dyDescent="0.25">
      <c r="B74" s="18" t="s">
        <v>47</v>
      </c>
      <c r="C74" s="19">
        <f>+C56+C68</f>
        <v>0</v>
      </c>
      <c r="D74" s="19">
        <f>+D68+D62+D56</f>
        <v>0</v>
      </c>
      <c r="E74" s="19">
        <f>+E68+E62+E56</f>
        <v>0</v>
      </c>
      <c r="F74" s="19">
        <f t="shared" si="1"/>
        <v>0</v>
      </c>
      <c r="G74" s="22">
        <f>SUM(C74:F74)</f>
        <v>0</v>
      </c>
    </row>
    <row r="75" spans="2:8" x14ac:dyDescent="0.25">
      <c r="B75" s="18" t="s">
        <v>48</v>
      </c>
      <c r="C75" s="19">
        <v>14.546971966616701</v>
      </c>
      <c r="D75" s="19">
        <f>(+D57+D63+D69)/3</f>
        <v>0</v>
      </c>
      <c r="E75" s="19"/>
      <c r="F75" s="19">
        <f>(F57+F69)/2</f>
        <v>0</v>
      </c>
      <c r="G75" s="19">
        <f>AVERAGE(C75:F75)</f>
        <v>4.8489906555389002</v>
      </c>
    </row>
    <row r="76" spans="2:8" x14ac:dyDescent="0.25">
      <c r="B76" s="18" t="s">
        <v>49</v>
      </c>
      <c r="C76" s="19">
        <f>+C58+C70</f>
        <v>0</v>
      </c>
      <c r="D76" s="19">
        <f t="shared" ref="D76:E76" si="2">+D70+D64+D58</f>
        <v>0</v>
      </c>
      <c r="E76" s="19">
        <f t="shared" si="2"/>
        <v>0</v>
      </c>
      <c r="F76" s="19">
        <f t="shared" ref="F76:F77" si="3">+F58+F70</f>
        <v>0</v>
      </c>
      <c r="G76" s="19">
        <f>SUM(C76:F76)</f>
        <v>0</v>
      </c>
    </row>
    <row r="77" spans="2:8" x14ac:dyDescent="0.25">
      <c r="B77" s="18" t="s">
        <v>50</v>
      </c>
      <c r="C77" s="19">
        <f>+C59+C71</f>
        <v>0</v>
      </c>
      <c r="D77" s="19">
        <f>+D71+D65+D59</f>
        <v>0</v>
      </c>
      <c r="E77" s="19">
        <f>+E71+E65+E59</f>
        <v>0</v>
      </c>
      <c r="F77" s="19">
        <f t="shared" si="3"/>
        <v>0</v>
      </c>
      <c r="G77" s="22">
        <f>SUM(C77:F77)</f>
        <v>0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24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24"/>
      <c r="F85" s="24"/>
      <c r="G85" s="11">
        <f>SUM(C85:F85)</f>
        <v>0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/>
      <c r="D96" s="27">
        <v>0</v>
      </c>
      <c r="E96" s="27">
        <v>0</v>
      </c>
      <c r="F96" s="27"/>
      <c r="G96" s="27">
        <f>SUM(C96:F96)</f>
        <v>0</v>
      </c>
    </row>
    <row r="97" spans="2:8" x14ac:dyDescent="0.25">
      <c r="B97" s="14" t="s">
        <v>50</v>
      </c>
      <c r="C97" s="27"/>
      <c r="D97" s="27">
        <v>0</v>
      </c>
      <c r="E97" s="27">
        <v>0</v>
      </c>
      <c r="F97" s="27"/>
      <c r="G97" s="11">
        <f>SUM(C97:F97)</f>
        <v>0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/>
      <c r="D102" s="19">
        <f t="shared" ref="D102:D103" si="4">+D96+D90+D84</f>
        <v>0</v>
      </c>
      <c r="E102" s="19">
        <f>+E84</f>
        <v>0</v>
      </c>
      <c r="F102" s="19"/>
      <c r="G102" s="19">
        <f>SUM(C102:F102)</f>
        <v>0</v>
      </c>
    </row>
    <row r="103" spans="2:8" x14ac:dyDescent="0.25">
      <c r="B103" s="18" t="s">
        <v>50</v>
      </c>
      <c r="C103" s="19">
        <f>+C97+C85</f>
        <v>0</v>
      </c>
      <c r="D103" s="19">
        <f t="shared" si="4"/>
        <v>0</v>
      </c>
      <c r="E103" s="19">
        <f>+E85</f>
        <v>0</v>
      </c>
      <c r="F103" s="19"/>
      <c r="G103" s="22">
        <f>SUM(C103:F103)</f>
        <v>0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/>
      <c r="D107" s="13"/>
      <c r="E107" s="66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66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66"/>
      <c r="F109" s="13"/>
      <c r="G109" s="13" t="e">
        <f>AVERAGE(C109:F109)</f>
        <v>#DIV/0!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/>
      <c r="D111" s="13"/>
      <c r="E111" s="66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66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66"/>
      <c r="F113" s="13"/>
      <c r="G113" s="13" t="e">
        <f>AVERAGE(C113:F113)</f>
        <v>#DIV/0!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/>
      <c r="D116" s="13"/>
      <c r="E116" s="66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66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66"/>
      <c r="F118" s="13"/>
      <c r="G118" s="13" t="e">
        <f>AVERAGE(C118:F118)</f>
        <v>#DIV/0!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/>
      <c r="E120" s="66"/>
      <c r="F120" s="13"/>
      <c r="G120" s="13" t="e">
        <f>AVERAGE(C120:F120)</f>
        <v>#DIV/0!</v>
      </c>
    </row>
    <row r="121" spans="2:9" x14ac:dyDescent="0.25">
      <c r="B121" s="14" t="s">
        <v>60</v>
      </c>
      <c r="C121" s="13"/>
      <c r="D121" s="13"/>
      <c r="E121" s="66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66"/>
      <c r="F122" s="13"/>
      <c r="G122" s="13" t="e">
        <f>AVERAGE(C122:F122)</f>
        <v>#DIV/0!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/>
      <c r="D127" s="11"/>
      <c r="E127" s="11"/>
      <c r="F127" s="11"/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/>
      <c r="E146" s="27"/>
      <c r="F146" s="24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4"/>
      <c r="G147" s="11">
        <f>SUM(C147:F147)</f>
        <v>0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/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/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/>
      <c r="E154" s="67"/>
      <c r="F154" s="27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27">
        <v>0</v>
      </c>
      <c r="D155" s="27"/>
      <c r="E155" s="65"/>
      <c r="F155" s="27">
        <v>0</v>
      </c>
      <c r="G155" s="11">
        <f>SUM(C155:F155)</f>
        <v>0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0</v>
      </c>
      <c r="E158" s="19"/>
      <c r="F158" s="19">
        <f t="shared" ref="F158:F159" si="5">+F146+F154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19">
        <f>D147+D151+D155</f>
        <v>0</v>
      </c>
      <c r="E159" s="19"/>
      <c r="F159" s="19">
        <f t="shared" si="5"/>
        <v>0</v>
      </c>
      <c r="G159" s="22">
        <f>SUM(C159:F159)</f>
        <v>0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/>
      <c r="D162" s="27"/>
      <c r="E162" s="27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/>
      <c r="D167" s="27"/>
      <c r="E167" s="27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/>
      <c r="D171" s="27"/>
      <c r="E171" s="27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/>
      <c r="D175" s="27"/>
      <c r="E175" s="27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/>
      <c r="D179" s="27"/>
      <c r="E179" s="27">
        <v>0</v>
      </c>
      <c r="F179" s="27">
        <v>0</v>
      </c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>
        <v>0</v>
      </c>
      <c r="F180" s="27">
        <v>0</v>
      </c>
      <c r="G180" s="11">
        <f>SUM(C180:F180)</f>
        <v>0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0</v>
      </c>
      <c r="D183" s="19">
        <f>D167+D171+D175+D179</f>
        <v>0</v>
      </c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>
        <f>+C180+C176+C172+C168</f>
        <v>0</v>
      </c>
      <c r="D184" s="19">
        <f>D168+D172+D176+D180</f>
        <v>0</v>
      </c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/>
      <c r="D187" s="27"/>
      <c r="E187" s="27"/>
      <c r="F187" s="27">
        <f>F166+F171+F175+F179+F162</f>
        <v>0</v>
      </c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>
        <f>F167+F172+F176+F180+F163</f>
        <v>0</v>
      </c>
      <c r="G188" s="11">
        <f>SUM(C188:F188)</f>
        <v>0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0</v>
      </c>
      <c r="D191" s="19">
        <f>+D187+D183+D162+D158</f>
        <v>0</v>
      </c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19">
        <f>+D188+D184+D163+D159</f>
        <v>0</v>
      </c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6048-3967-4D53-8EB1-06B67FFAE4AB}">
  <dimension ref="A1:BD196"/>
  <sheetViews>
    <sheetView zoomScaleNormal="100" workbookViewId="0">
      <selection activeCell="E191" sqref="E191:E19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1" t="s">
        <v>1</v>
      </c>
      <c r="D2" s="92"/>
      <c r="E2" s="92"/>
      <c r="F2" s="92"/>
      <c r="G2" s="93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0" t="s">
        <v>7</v>
      </c>
      <c r="C4" s="81"/>
      <c r="D4" s="81"/>
      <c r="E4" s="81"/>
      <c r="F4" s="81"/>
      <c r="G4" s="82"/>
    </row>
    <row r="5" spans="1:7" x14ac:dyDescent="0.25">
      <c r="B5" s="76" t="s">
        <v>8</v>
      </c>
      <c r="C5" s="77"/>
      <c r="D5" s="77"/>
      <c r="E5" s="77"/>
      <c r="F5" s="77"/>
      <c r="G5" s="78"/>
    </row>
    <row r="6" spans="1:7" x14ac:dyDescent="0.25">
      <c r="B6" s="4" t="s">
        <v>9</v>
      </c>
      <c r="C6" s="12"/>
      <c r="D6" s="12"/>
      <c r="E6" s="12"/>
      <c r="F6" s="12"/>
      <c r="G6" s="12">
        <f>+F6+E6+D6+C6</f>
        <v>0</v>
      </c>
    </row>
    <row r="7" spans="1:7" x14ac:dyDescent="0.25">
      <c r="B7" s="14" t="s">
        <v>10</v>
      </c>
      <c r="C7" s="12"/>
      <c r="D7" s="12"/>
      <c r="E7" s="12"/>
      <c r="F7" s="12"/>
      <c r="G7" s="12">
        <f>+F7+E7+D7+C7</f>
        <v>0</v>
      </c>
    </row>
    <row r="8" spans="1:7" x14ac:dyDescent="0.25">
      <c r="B8" s="18" t="s">
        <v>11</v>
      </c>
      <c r="C8" s="25">
        <f>SUM(C6:C7)</f>
        <v>0</v>
      </c>
      <c r="D8" s="25">
        <f>+D6+D7</f>
        <v>0</v>
      </c>
      <c r="E8" s="25"/>
      <c r="F8" s="25"/>
      <c r="G8" s="25">
        <f>+F8+E8+D8+C8</f>
        <v>0</v>
      </c>
    </row>
    <row r="9" spans="1:7" x14ac:dyDescent="0.25">
      <c r="B9" s="71"/>
      <c r="C9" s="71"/>
      <c r="D9" s="71"/>
      <c r="E9" s="71"/>
      <c r="F9" s="71"/>
      <c r="G9" s="71"/>
    </row>
    <row r="10" spans="1:7" x14ac:dyDescent="0.25">
      <c r="B10" s="76" t="s">
        <v>12</v>
      </c>
      <c r="C10" s="77"/>
      <c r="D10" s="77"/>
      <c r="E10" s="77"/>
      <c r="F10" s="77"/>
      <c r="G10" s="78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/>
      <c r="D12" s="17"/>
      <c r="E12" s="17"/>
      <c r="F12" s="17"/>
      <c r="G12" s="17">
        <f>SUM(C12:F12)</f>
        <v>0</v>
      </c>
    </row>
    <row r="13" spans="1:7" x14ac:dyDescent="0.25">
      <c r="B13" s="16" t="s">
        <v>15</v>
      </c>
      <c r="C13" s="17"/>
      <c r="D13" s="17"/>
      <c r="E13" s="17"/>
      <c r="F13" s="17"/>
      <c r="G13" s="17">
        <f>SUM(C13:F13)</f>
        <v>0</v>
      </c>
    </row>
    <row r="14" spans="1:7" x14ac:dyDescent="0.25">
      <c r="B14" s="18" t="s">
        <v>16</v>
      </c>
      <c r="C14" s="19"/>
      <c r="D14" s="19"/>
      <c r="E14" s="19"/>
      <c r="F14" s="19"/>
      <c r="G14" s="19">
        <f>SUM(C14:F14)</f>
        <v>0</v>
      </c>
    </row>
    <row r="15" spans="1:7" x14ac:dyDescent="0.25">
      <c r="B15" s="18" t="s">
        <v>17</v>
      </c>
      <c r="C15" s="19"/>
      <c r="D15" s="19"/>
      <c r="E15" s="19"/>
      <c r="F15" s="19"/>
      <c r="G15" s="19">
        <f>SUM(C15:F15)</f>
        <v>0</v>
      </c>
    </row>
    <row r="16" spans="1:7" x14ac:dyDescent="0.25">
      <c r="B16" s="18" t="s">
        <v>18</v>
      </c>
      <c r="C16" s="19"/>
      <c r="D16" s="19"/>
      <c r="E16" s="19"/>
      <c r="F16" s="19"/>
      <c r="G16" s="19">
        <f>SUM(C16:F16)</f>
        <v>0</v>
      </c>
    </row>
    <row r="17" spans="2:8" x14ac:dyDescent="0.25">
      <c r="B17" s="71"/>
      <c r="C17" s="71"/>
      <c r="D17" s="71"/>
      <c r="E17" s="71"/>
      <c r="F17" s="71"/>
      <c r="G17" s="71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/>
      <c r="D19" s="27"/>
      <c r="E19" s="27"/>
      <c r="F19" s="27"/>
      <c r="G19" s="27">
        <f>SUM(C19:F19)</f>
        <v>0</v>
      </c>
    </row>
    <row r="20" spans="2:8" x14ac:dyDescent="0.25">
      <c r="B20" s="94"/>
      <c r="C20" s="94"/>
      <c r="D20" s="94"/>
      <c r="E20" s="94"/>
      <c r="F20" s="94"/>
      <c r="G20" s="94"/>
    </row>
    <row r="21" spans="2:8" x14ac:dyDescent="0.25">
      <c r="B21" s="18" t="s">
        <v>21</v>
      </c>
      <c r="C21" s="19">
        <f>C16+C19</f>
        <v>0</v>
      </c>
      <c r="D21" s="19"/>
      <c r="E21" s="19"/>
      <c r="F21" s="19">
        <f>F16</f>
        <v>0</v>
      </c>
      <c r="G21" s="19">
        <f>SUM(C21:F21)</f>
        <v>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/>
      <c r="D24" s="19"/>
      <c r="E24" s="19"/>
      <c r="F24" s="19"/>
      <c r="G24" s="19">
        <f>SUM(C24:F24)</f>
        <v>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0</v>
      </c>
      <c r="D27" s="19">
        <f>+D24+D21</f>
        <v>0</v>
      </c>
      <c r="E27" s="19">
        <f>+E24+E21</f>
        <v>0</v>
      </c>
      <c r="F27" s="19">
        <f>+F24+F21</f>
        <v>0</v>
      </c>
      <c r="G27" s="19">
        <f>SUM(C27:F27)</f>
        <v>0</v>
      </c>
    </row>
    <row r="28" spans="2:8" x14ac:dyDescent="0.25">
      <c r="B28" s="71"/>
      <c r="C28" s="71"/>
      <c r="D28" s="71"/>
      <c r="E28" s="71"/>
      <c r="F28" s="71"/>
      <c r="G28" s="71"/>
      <c r="H28" s="71"/>
    </row>
    <row r="29" spans="2:8" x14ac:dyDescent="0.25">
      <c r="B29" s="76" t="s">
        <v>26</v>
      </c>
      <c r="C29" s="77"/>
      <c r="D29" s="77"/>
      <c r="E29" s="77"/>
      <c r="F29" s="77"/>
      <c r="G29" s="78"/>
    </row>
    <row r="30" spans="2:8" x14ac:dyDescent="0.25">
      <c r="B30" s="14" t="s">
        <v>27</v>
      </c>
      <c r="C30" s="27"/>
      <c r="D30" s="27"/>
      <c r="E30" s="27"/>
      <c r="F30" s="27"/>
      <c r="G30" s="27">
        <f>SUM(C30:F30)</f>
        <v>0</v>
      </c>
    </row>
    <row r="31" spans="2:8" x14ac:dyDescent="0.25">
      <c r="B31" s="71"/>
      <c r="C31" s="71"/>
      <c r="D31" s="71"/>
      <c r="E31" s="71"/>
      <c r="F31" s="71"/>
      <c r="G31" s="71"/>
      <c r="H31" s="71"/>
    </row>
    <row r="32" spans="2:8" x14ac:dyDescent="0.25">
      <c r="B32" s="76" t="s">
        <v>28</v>
      </c>
      <c r="C32" s="77"/>
      <c r="D32" s="77"/>
      <c r="E32" s="77"/>
      <c r="F32" s="77"/>
      <c r="G32" s="78"/>
    </row>
    <row r="33" spans="2:9" x14ac:dyDescent="0.25">
      <c r="B33" s="14" t="s">
        <v>29</v>
      </c>
      <c r="C33" s="27"/>
      <c r="D33" s="27"/>
      <c r="E33" s="27"/>
      <c r="F33" s="27"/>
      <c r="G33" s="27">
        <f>SUM(C33:F33)</f>
        <v>0</v>
      </c>
    </row>
    <row r="34" spans="2:9" x14ac:dyDescent="0.25">
      <c r="B34" s="14" t="s">
        <v>30</v>
      </c>
      <c r="C34" s="27"/>
      <c r="D34" s="27"/>
      <c r="E34" s="27"/>
      <c r="F34" s="27"/>
      <c r="G34" s="27">
        <f>SUM(C34:F34)</f>
        <v>0</v>
      </c>
    </row>
    <row r="35" spans="2:9" x14ac:dyDescent="0.25">
      <c r="B35" s="39" t="s">
        <v>31</v>
      </c>
      <c r="C35" s="40"/>
      <c r="D35" s="40"/>
      <c r="E35" s="40"/>
      <c r="F35" s="40"/>
      <c r="G35" s="40">
        <f>SUM(C35:F35)</f>
        <v>0</v>
      </c>
    </row>
    <row r="36" spans="2:9" x14ac:dyDescent="0.25">
      <c r="B36" s="87" t="s">
        <v>32</v>
      </c>
      <c r="C36" s="88"/>
      <c r="D36" s="88"/>
      <c r="E36" s="88"/>
      <c r="F36" s="88"/>
      <c r="G36" s="88"/>
      <c r="H36" s="8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80" t="s">
        <v>33</v>
      </c>
      <c r="C38" s="81"/>
      <c r="D38" s="81"/>
      <c r="E38" s="81"/>
      <c r="F38" s="81"/>
      <c r="G38" s="82"/>
    </row>
    <row r="39" spans="2:9" x14ac:dyDescent="0.25">
      <c r="B39" s="76" t="s">
        <v>34</v>
      </c>
      <c r="C39" s="77"/>
      <c r="D39" s="77"/>
      <c r="E39" s="77"/>
      <c r="F39" s="77"/>
      <c r="G39" s="78"/>
    </row>
    <row r="40" spans="2:9" x14ac:dyDescent="0.25">
      <c r="B40" s="14" t="s">
        <v>35</v>
      </c>
      <c r="C40" s="27"/>
      <c r="D40" s="27"/>
      <c r="E40" s="27"/>
      <c r="F40" s="27"/>
      <c r="G40" s="27">
        <f>SUM(C40:F40)</f>
        <v>0</v>
      </c>
      <c r="H40" s="7"/>
      <c r="I40" s="7"/>
    </row>
    <row r="41" spans="2:9" x14ac:dyDescent="0.25">
      <c r="B41" s="14" t="s">
        <v>36</v>
      </c>
      <c r="C41" s="27"/>
      <c r="D41" s="27"/>
      <c r="E41" s="27"/>
      <c r="F41" s="27"/>
      <c r="G41" s="11">
        <f>SUM(C41:F41)</f>
        <v>0</v>
      </c>
      <c r="H41" s="7"/>
      <c r="I41" s="7"/>
    </row>
    <row r="42" spans="2:9" x14ac:dyDescent="0.25">
      <c r="B42" s="71"/>
      <c r="C42" s="71"/>
      <c r="D42" s="71"/>
      <c r="E42" s="71"/>
      <c r="F42" s="71"/>
      <c r="G42" s="71"/>
      <c r="H42" s="71"/>
      <c r="I42" s="7"/>
    </row>
    <row r="43" spans="2:9" x14ac:dyDescent="0.25">
      <c r="B43" s="70" t="s">
        <v>37</v>
      </c>
      <c r="C43" s="70"/>
      <c r="D43" s="70"/>
      <c r="E43" s="70"/>
      <c r="F43" s="70"/>
      <c r="G43" s="70"/>
      <c r="I43" s="7"/>
    </row>
    <row r="44" spans="2:9" x14ac:dyDescent="0.25">
      <c r="B44" s="14" t="s">
        <v>38</v>
      </c>
      <c r="C44" s="27"/>
      <c r="D44" s="27"/>
      <c r="E44" s="27"/>
      <c r="F44" s="27"/>
      <c r="G44" s="27">
        <f>SUM(C44:F44)</f>
        <v>0</v>
      </c>
      <c r="H44" s="7"/>
      <c r="I44" s="7"/>
    </row>
    <row r="45" spans="2:9" x14ac:dyDescent="0.25">
      <c r="B45" s="14" t="s">
        <v>39</v>
      </c>
      <c r="C45" s="27"/>
      <c r="D45" s="27"/>
      <c r="E45" s="27"/>
      <c r="F45" s="27"/>
      <c r="G45" s="11">
        <f>SUM(C45:F45)</f>
        <v>0</v>
      </c>
      <c r="H45" s="7"/>
      <c r="I45" s="7"/>
    </row>
    <row r="46" spans="2:9" x14ac:dyDescent="0.25">
      <c r="B46" s="71"/>
      <c r="C46" s="71"/>
      <c r="D46" s="71"/>
      <c r="E46" s="71"/>
      <c r="F46" s="71"/>
      <c r="G46" s="71"/>
      <c r="H46" s="71"/>
      <c r="I46" s="7"/>
    </row>
    <row r="47" spans="2:9" x14ac:dyDescent="0.25">
      <c r="B47" s="70" t="s">
        <v>40</v>
      </c>
      <c r="C47" s="70"/>
      <c r="D47" s="70"/>
      <c r="E47" s="70"/>
      <c r="F47" s="70"/>
      <c r="G47" s="70"/>
      <c r="I47" s="7"/>
    </row>
    <row r="48" spans="2:9" x14ac:dyDescent="0.25">
      <c r="B48" s="14" t="s">
        <v>41</v>
      </c>
      <c r="C48" s="27"/>
      <c r="D48" s="27"/>
      <c r="E48" s="27"/>
      <c r="F48" s="27"/>
      <c r="G48" s="27">
        <f>SUM(C48:F48)</f>
        <v>0</v>
      </c>
      <c r="H48" s="7"/>
      <c r="I48" s="7"/>
    </row>
    <row r="49" spans="2:9" x14ac:dyDescent="0.25">
      <c r="B49" s="14" t="s">
        <v>42</v>
      </c>
      <c r="C49" s="27"/>
      <c r="D49" s="27"/>
      <c r="E49" s="27"/>
      <c r="F49" s="27"/>
      <c r="G49" s="11">
        <f>SUM(C49:F49)</f>
        <v>0</v>
      </c>
      <c r="H49" s="7"/>
      <c r="I49" s="7"/>
    </row>
    <row r="50" spans="2:9" x14ac:dyDescent="0.25">
      <c r="B50" s="71"/>
      <c r="C50" s="71"/>
      <c r="D50" s="71"/>
      <c r="E50" s="71"/>
      <c r="F50" s="71"/>
      <c r="G50" s="71"/>
      <c r="H50" s="71"/>
    </row>
    <row r="51" spans="2:9" ht="21" x14ac:dyDescent="0.35">
      <c r="B51" s="80" t="s">
        <v>43</v>
      </c>
      <c r="C51" s="81"/>
      <c r="D51" s="81"/>
      <c r="E51" s="81"/>
      <c r="F51" s="81"/>
      <c r="G51" s="82"/>
    </row>
    <row r="52" spans="2:9" x14ac:dyDescent="0.25">
      <c r="B52" s="90"/>
      <c r="C52" s="90"/>
      <c r="D52" s="90"/>
      <c r="E52" s="90"/>
      <c r="F52" s="90"/>
      <c r="G52" s="90"/>
      <c r="H52" s="90"/>
    </row>
    <row r="53" spans="2:9" x14ac:dyDescent="0.25">
      <c r="B53" s="70" t="s">
        <v>44</v>
      </c>
      <c r="C53" s="70"/>
      <c r="D53" s="70"/>
      <c r="E53" s="70"/>
      <c r="F53" s="70"/>
      <c r="G53" s="70"/>
    </row>
    <row r="54" spans="2:9" x14ac:dyDescent="0.25">
      <c r="B54" s="75" t="s">
        <v>45</v>
      </c>
      <c r="C54" s="75"/>
      <c r="D54" s="75"/>
      <c r="E54" s="75"/>
      <c r="F54" s="75"/>
      <c r="G54" s="75"/>
    </row>
    <row r="55" spans="2:9" x14ac:dyDescent="0.25">
      <c r="B55" s="14" t="s">
        <v>46</v>
      </c>
      <c r="C55" s="27"/>
      <c r="D55" s="27"/>
      <c r="E55" s="27"/>
      <c r="F55" s="27"/>
      <c r="G55" s="27">
        <f t="shared" ref="G55:G71" si="0">SUM(C55:F55)</f>
        <v>0</v>
      </c>
    </row>
    <row r="56" spans="2:9" x14ac:dyDescent="0.25">
      <c r="B56" s="14" t="s">
        <v>47</v>
      </c>
      <c r="C56" s="27"/>
      <c r="D56" s="27"/>
      <c r="E56" s="27"/>
      <c r="F56" s="27"/>
      <c r="G56" s="27">
        <f t="shared" si="0"/>
        <v>0</v>
      </c>
    </row>
    <row r="57" spans="2:9" x14ac:dyDescent="0.25">
      <c r="B57" s="14" t="s">
        <v>48</v>
      </c>
      <c r="C57" s="27"/>
      <c r="D57" s="27"/>
      <c r="E57" s="27"/>
      <c r="F57" s="27"/>
      <c r="G57" s="27" t="e">
        <f>AVERAGE(C57:F57)</f>
        <v>#DIV/0!</v>
      </c>
    </row>
    <row r="58" spans="2:9" x14ac:dyDescent="0.25">
      <c r="B58" s="14" t="s">
        <v>49</v>
      </c>
      <c r="C58" s="27"/>
      <c r="D58" s="27"/>
      <c r="E58" s="27"/>
      <c r="F58" s="27"/>
      <c r="G58" s="27">
        <f t="shared" si="0"/>
        <v>0</v>
      </c>
    </row>
    <row r="59" spans="2:9" x14ac:dyDescent="0.25">
      <c r="B59" s="14" t="s">
        <v>50</v>
      </c>
      <c r="C59" s="27"/>
      <c r="D59" s="27"/>
      <c r="E59" s="27"/>
      <c r="F59" s="27"/>
      <c r="G59" s="11">
        <f t="shared" si="0"/>
        <v>0</v>
      </c>
    </row>
    <row r="60" spans="2:9" x14ac:dyDescent="0.25">
      <c r="B60" s="75" t="s">
        <v>51</v>
      </c>
      <c r="C60" s="75"/>
      <c r="D60" s="75"/>
      <c r="E60" s="75"/>
      <c r="F60" s="75"/>
      <c r="G60" s="75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75" t="s">
        <v>52</v>
      </c>
      <c r="C66" s="75"/>
      <c r="D66" s="75"/>
      <c r="E66" s="75"/>
      <c r="F66" s="75"/>
      <c r="G66" s="75"/>
    </row>
    <row r="67" spans="2:8" x14ac:dyDescent="0.25">
      <c r="B67" s="14" t="s">
        <v>46</v>
      </c>
      <c r="C67" s="27"/>
      <c r="D67" s="27"/>
      <c r="E67" s="27"/>
      <c r="F67" s="27"/>
      <c r="G67" s="27">
        <f t="shared" si="0"/>
        <v>0</v>
      </c>
    </row>
    <row r="68" spans="2:8" x14ac:dyDescent="0.25">
      <c r="B68" s="14" t="s">
        <v>47</v>
      </c>
      <c r="C68" s="27"/>
      <c r="D68" s="27"/>
      <c r="E68" s="27"/>
      <c r="F68" s="27"/>
      <c r="G68" s="27">
        <f t="shared" si="0"/>
        <v>0</v>
      </c>
    </row>
    <row r="69" spans="2:8" x14ac:dyDescent="0.25">
      <c r="B69" s="14" t="s">
        <v>48</v>
      </c>
      <c r="C69" s="27"/>
      <c r="D69" s="27"/>
      <c r="E69" s="27"/>
      <c r="F69" s="27"/>
      <c r="G69" s="27" t="e">
        <f>AVERAGE(C69:F69)</f>
        <v>#DIV/0!</v>
      </c>
    </row>
    <row r="70" spans="2:8" x14ac:dyDescent="0.25">
      <c r="B70" s="14" t="s">
        <v>49</v>
      </c>
      <c r="C70" s="27"/>
      <c r="D70" s="27"/>
      <c r="E70" s="27"/>
      <c r="F70" s="27"/>
      <c r="G70" s="27">
        <f t="shared" si="0"/>
        <v>0</v>
      </c>
    </row>
    <row r="71" spans="2:8" x14ac:dyDescent="0.25">
      <c r="B71" s="14" t="s">
        <v>50</v>
      </c>
      <c r="C71" s="27"/>
      <c r="D71" s="27"/>
      <c r="E71" s="27"/>
      <c r="F71" s="27"/>
      <c r="G71" s="11">
        <f t="shared" si="0"/>
        <v>0</v>
      </c>
    </row>
    <row r="72" spans="2:8" x14ac:dyDescent="0.25">
      <c r="B72" s="84" t="s">
        <v>53</v>
      </c>
      <c r="C72" s="85"/>
      <c r="D72" s="85"/>
      <c r="E72" s="85"/>
      <c r="F72" s="85"/>
      <c r="G72" s="86"/>
    </row>
    <row r="73" spans="2:8" x14ac:dyDescent="0.25">
      <c r="B73" s="18" t="s">
        <v>54</v>
      </c>
      <c r="C73" s="19">
        <f>+C55+C67</f>
        <v>0</v>
      </c>
      <c r="D73" s="19">
        <f>+D67+D61+D55</f>
        <v>0</v>
      </c>
      <c r="E73" s="19">
        <f>+E67+E61+E55</f>
        <v>0</v>
      </c>
      <c r="F73" s="19">
        <f t="shared" ref="F73:F74" si="1">+F55+F67</f>
        <v>0</v>
      </c>
      <c r="G73" s="19">
        <f>SUM(C73:F73)</f>
        <v>0</v>
      </c>
    </row>
    <row r="74" spans="2:8" x14ac:dyDescent="0.25">
      <c r="B74" s="18" t="s">
        <v>47</v>
      </c>
      <c r="C74" s="19">
        <f>+C56+C68</f>
        <v>0</v>
      </c>
      <c r="D74" s="19">
        <f>+D68+D62+D56</f>
        <v>0</v>
      </c>
      <c r="E74" s="19">
        <f>+E68+E62+E56</f>
        <v>0</v>
      </c>
      <c r="F74" s="19">
        <f t="shared" si="1"/>
        <v>0</v>
      </c>
      <c r="G74" s="22">
        <f>SUM(C74:F74)</f>
        <v>0</v>
      </c>
    </row>
    <row r="75" spans="2:8" x14ac:dyDescent="0.25">
      <c r="B75" s="18" t="s">
        <v>48</v>
      </c>
      <c r="C75" s="19">
        <v>14.546971966616701</v>
      </c>
      <c r="D75" s="19">
        <f>(+D57+D63+D69)/3</f>
        <v>0</v>
      </c>
      <c r="E75" s="19"/>
      <c r="F75" s="19">
        <f>(F57+F69)/2</f>
        <v>0</v>
      </c>
      <c r="G75" s="19">
        <f>AVERAGE(C75:F75)</f>
        <v>4.8489906555389002</v>
      </c>
    </row>
    <row r="76" spans="2:8" x14ac:dyDescent="0.25">
      <c r="B76" s="18" t="s">
        <v>49</v>
      </c>
      <c r="C76" s="19">
        <f>+C58+C70</f>
        <v>0</v>
      </c>
      <c r="D76" s="19">
        <f t="shared" ref="D76:E76" si="2">+D70+D64+D58</f>
        <v>0</v>
      </c>
      <c r="E76" s="19">
        <f t="shared" si="2"/>
        <v>0</v>
      </c>
      <c r="F76" s="19">
        <f t="shared" ref="F76:F77" si="3">+F58+F70</f>
        <v>0</v>
      </c>
      <c r="G76" s="19">
        <f>SUM(C76:F76)</f>
        <v>0</v>
      </c>
    </row>
    <row r="77" spans="2:8" x14ac:dyDescent="0.25">
      <c r="B77" s="18" t="s">
        <v>50</v>
      </c>
      <c r="C77" s="19">
        <f>+C59+C71</f>
        <v>0</v>
      </c>
      <c r="D77" s="19">
        <f>+D71+D65+D59</f>
        <v>0</v>
      </c>
      <c r="E77" s="19">
        <f>+E71+E65+E59</f>
        <v>0</v>
      </c>
      <c r="F77" s="19">
        <f t="shared" si="3"/>
        <v>0</v>
      </c>
      <c r="G77" s="22">
        <f>SUM(C77:F77)</f>
        <v>0</v>
      </c>
    </row>
    <row r="78" spans="2:8" x14ac:dyDescent="0.25">
      <c r="B78" s="71"/>
      <c r="C78" s="71"/>
      <c r="D78" s="71"/>
      <c r="E78" s="71"/>
      <c r="F78" s="71"/>
      <c r="G78" s="71"/>
      <c r="H78" s="71"/>
    </row>
    <row r="79" spans="2:8" x14ac:dyDescent="0.25">
      <c r="B79" s="76" t="s">
        <v>55</v>
      </c>
      <c r="C79" s="77"/>
      <c r="D79" s="77"/>
      <c r="E79" s="77"/>
      <c r="F79" s="77"/>
      <c r="G79" s="78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/>
      <c r="D84" s="24"/>
      <c r="E84" s="24"/>
      <c r="F84" s="24"/>
      <c r="G84" s="24">
        <f>SUM(C84:F84)</f>
        <v>0</v>
      </c>
    </row>
    <row r="85" spans="2:7" x14ac:dyDescent="0.25">
      <c r="B85" s="14" t="s">
        <v>50</v>
      </c>
      <c r="C85" s="24"/>
      <c r="D85" s="24"/>
      <c r="E85" s="24"/>
      <c r="F85" s="24"/>
      <c r="G85" s="11">
        <f>SUM(C85:F85)</f>
        <v>0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/>
      <c r="D96" s="27">
        <v>0</v>
      </c>
      <c r="E96" s="27">
        <v>0</v>
      </c>
      <c r="F96" s="27"/>
      <c r="G96" s="27">
        <f>SUM(C96:F96)</f>
        <v>0</v>
      </c>
    </row>
    <row r="97" spans="2:8" x14ac:dyDescent="0.25">
      <c r="B97" s="14" t="s">
        <v>50</v>
      </c>
      <c r="C97" s="27"/>
      <c r="D97" s="27">
        <v>0</v>
      </c>
      <c r="E97" s="27">
        <v>0</v>
      </c>
      <c r="F97" s="27"/>
      <c r="G97" s="11">
        <f>SUM(C97:F97)</f>
        <v>0</v>
      </c>
    </row>
    <row r="98" spans="2:8" x14ac:dyDescent="0.25">
      <c r="B98" s="84" t="s">
        <v>56</v>
      </c>
      <c r="C98" s="85"/>
      <c r="D98" s="85"/>
      <c r="E98" s="85"/>
      <c r="F98" s="85"/>
      <c r="G98" s="86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/>
      <c r="D102" s="19">
        <f t="shared" ref="D102:D103" si="4">+D96+D90+D84</f>
        <v>0</v>
      </c>
      <c r="E102" s="19">
        <f>+E84</f>
        <v>0</v>
      </c>
      <c r="F102" s="19"/>
      <c r="G102" s="19">
        <f>SUM(C102:F102)</f>
        <v>0</v>
      </c>
    </row>
    <row r="103" spans="2:8" x14ac:dyDescent="0.25">
      <c r="B103" s="18" t="s">
        <v>50</v>
      </c>
      <c r="C103" s="19">
        <f>+C97+C85</f>
        <v>0</v>
      </c>
      <c r="D103" s="19">
        <f t="shared" si="4"/>
        <v>0</v>
      </c>
      <c r="E103" s="19">
        <f>+E85</f>
        <v>0</v>
      </c>
      <c r="F103" s="19"/>
      <c r="G103" s="22">
        <f>SUM(C103:F103)</f>
        <v>0</v>
      </c>
    </row>
    <row r="104" spans="2:8" x14ac:dyDescent="0.25">
      <c r="B104" s="71"/>
      <c r="C104" s="71"/>
      <c r="D104" s="71"/>
      <c r="E104" s="71"/>
      <c r="F104" s="71"/>
      <c r="G104" s="71"/>
      <c r="H104" s="71"/>
    </row>
    <row r="105" spans="2:8" x14ac:dyDescent="0.25">
      <c r="B105" s="70" t="s">
        <v>57</v>
      </c>
      <c r="C105" s="70"/>
      <c r="D105" s="70"/>
      <c r="E105" s="70"/>
      <c r="F105" s="70"/>
      <c r="G105" s="70"/>
    </row>
    <row r="106" spans="2:8" x14ac:dyDescent="0.25">
      <c r="B106" s="75" t="s">
        <v>58</v>
      </c>
      <c r="C106" s="75"/>
      <c r="D106" s="75"/>
      <c r="E106" s="75"/>
      <c r="F106" s="75"/>
      <c r="G106" s="75"/>
    </row>
    <row r="107" spans="2:8" x14ac:dyDescent="0.25">
      <c r="B107" s="14" t="s">
        <v>59</v>
      </c>
      <c r="C107" s="13"/>
      <c r="D107" s="13"/>
      <c r="E107" s="66"/>
      <c r="F107" s="13"/>
      <c r="G107" s="13" t="e">
        <f>AVERAGE(C107:F107)</f>
        <v>#DIV/0!</v>
      </c>
    </row>
    <row r="108" spans="2:8" x14ac:dyDescent="0.25">
      <c r="B108" s="14" t="s">
        <v>60</v>
      </c>
      <c r="C108" s="13"/>
      <c r="D108" s="13"/>
      <c r="E108" s="66"/>
      <c r="F108" s="13"/>
      <c r="G108" s="13" t="e">
        <f>AVERAGE(C108:F108)</f>
        <v>#DIV/0!</v>
      </c>
    </row>
    <row r="109" spans="2:8" x14ac:dyDescent="0.25">
      <c r="B109" s="14" t="s">
        <v>61</v>
      </c>
      <c r="C109" s="13"/>
      <c r="D109" s="13"/>
      <c r="E109" s="66"/>
      <c r="F109" s="13"/>
      <c r="G109" s="13" t="e">
        <f>AVERAGE(C109:F109)</f>
        <v>#DIV/0!</v>
      </c>
    </row>
    <row r="110" spans="2:8" x14ac:dyDescent="0.25">
      <c r="B110" s="75" t="s">
        <v>62</v>
      </c>
      <c r="C110" s="75"/>
      <c r="D110" s="75"/>
      <c r="E110" s="75"/>
      <c r="F110" s="75"/>
      <c r="G110" s="75"/>
    </row>
    <row r="111" spans="2:8" x14ac:dyDescent="0.25">
      <c r="B111" s="14" t="s">
        <v>59</v>
      </c>
      <c r="C111" s="13"/>
      <c r="D111" s="13"/>
      <c r="E111" s="66"/>
      <c r="F111" s="13"/>
      <c r="G111" s="13" t="e">
        <f>AVERAGE(C111:F111)</f>
        <v>#DIV/0!</v>
      </c>
    </row>
    <row r="112" spans="2:8" x14ac:dyDescent="0.25">
      <c r="B112" s="14" t="s">
        <v>60</v>
      </c>
      <c r="C112" s="13"/>
      <c r="D112" s="13"/>
      <c r="E112" s="66"/>
      <c r="F112" s="13"/>
      <c r="G112" s="13" t="e">
        <f>AVERAGE(C112:F112)</f>
        <v>#DIV/0!</v>
      </c>
    </row>
    <row r="113" spans="2:9" x14ac:dyDescent="0.25">
      <c r="B113" s="14" t="s">
        <v>61</v>
      </c>
      <c r="C113" s="13"/>
      <c r="D113" s="13"/>
      <c r="E113" s="66"/>
      <c r="F113" s="13"/>
      <c r="G113" s="13" t="e">
        <f>AVERAGE(C113:F113)</f>
        <v>#DIV/0!</v>
      </c>
    </row>
    <row r="114" spans="2:9" x14ac:dyDescent="0.25">
      <c r="B114" s="71"/>
      <c r="C114" s="71"/>
      <c r="D114" s="71"/>
      <c r="E114" s="71"/>
      <c r="F114" s="71"/>
      <c r="G114" s="71"/>
      <c r="H114" s="71"/>
      <c r="I114" s="71"/>
    </row>
    <row r="115" spans="2:9" x14ac:dyDescent="0.25">
      <c r="B115" s="75" t="s">
        <v>63</v>
      </c>
      <c r="C115" s="75"/>
      <c r="D115" s="75"/>
      <c r="E115" s="75"/>
      <c r="F115" s="75"/>
      <c r="G115" s="75"/>
    </row>
    <row r="116" spans="2:9" x14ac:dyDescent="0.25">
      <c r="B116" s="14" t="s">
        <v>59</v>
      </c>
      <c r="C116" s="13"/>
      <c r="D116" s="13"/>
      <c r="E116" s="66"/>
      <c r="F116" s="13"/>
      <c r="G116" s="13" t="e">
        <f>AVERAGE(C116:F116)</f>
        <v>#DIV/0!</v>
      </c>
    </row>
    <row r="117" spans="2:9" x14ac:dyDescent="0.25">
      <c r="B117" s="14" t="s">
        <v>60</v>
      </c>
      <c r="C117" s="13"/>
      <c r="D117" s="13"/>
      <c r="E117" s="66"/>
      <c r="F117" s="13"/>
      <c r="G117" s="13" t="e">
        <f>AVERAGE(C117:F117)</f>
        <v>#DIV/0!</v>
      </c>
    </row>
    <row r="118" spans="2:9" x14ac:dyDescent="0.25">
      <c r="B118" s="14" t="s">
        <v>61</v>
      </c>
      <c r="C118" s="13"/>
      <c r="D118" s="13"/>
      <c r="E118" s="66"/>
      <c r="F118" s="13"/>
      <c r="G118" s="13" t="e">
        <f>AVERAGE(C118:F118)</f>
        <v>#DIV/0!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/>
      <c r="E120" s="66"/>
      <c r="F120" s="13"/>
      <c r="G120" s="13" t="e">
        <f>AVERAGE(C120:F120)</f>
        <v>#DIV/0!</v>
      </c>
    </row>
    <row r="121" spans="2:9" x14ac:dyDescent="0.25">
      <c r="B121" s="14" t="s">
        <v>60</v>
      </c>
      <c r="C121" s="13"/>
      <c r="D121" s="13"/>
      <c r="E121" s="66"/>
      <c r="F121" s="13"/>
      <c r="G121" s="13" t="e">
        <f>AVERAGE(C121:F121)</f>
        <v>#DIV/0!</v>
      </c>
    </row>
    <row r="122" spans="2:9" x14ac:dyDescent="0.25">
      <c r="B122" s="14" t="s">
        <v>61</v>
      </c>
      <c r="C122" s="13"/>
      <c r="D122" s="13"/>
      <c r="E122" s="66"/>
      <c r="F122" s="13"/>
      <c r="G122" s="13" t="e">
        <f>AVERAGE(C122:F122)</f>
        <v>#DIV/0!</v>
      </c>
    </row>
    <row r="123" spans="2:9" x14ac:dyDescent="0.25">
      <c r="B123" s="71"/>
      <c r="C123" s="71"/>
      <c r="D123" s="71"/>
      <c r="E123" s="71"/>
      <c r="F123" s="71"/>
      <c r="G123" s="71"/>
      <c r="H123" s="71"/>
    </row>
    <row r="124" spans="2:9" x14ac:dyDescent="0.25">
      <c r="B124" s="76" t="s">
        <v>65</v>
      </c>
      <c r="C124" s="77"/>
      <c r="D124" s="77"/>
      <c r="E124" s="77"/>
      <c r="F124" s="77"/>
      <c r="G124" s="78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6" t="s">
        <v>67</v>
      </c>
      <c r="C126" s="77"/>
      <c r="D126" s="77"/>
      <c r="E126" s="77"/>
      <c r="F126" s="77"/>
      <c r="G126" s="78"/>
    </row>
    <row r="127" spans="2:9" x14ac:dyDescent="0.25">
      <c r="B127" s="3" t="s">
        <v>68</v>
      </c>
      <c r="C127" s="11"/>
      <c r="D127" s="11"/>
      <c r="E127" s="11"/>
      <c r="F127" s="11"/>
      <c r="G127" s="11" t="e">
        <f>AVERAGE(C127:E127)</f>
        <v>#DIV/0!</v>
      </c>
    </row>
    <row r="128" spans="2:9" x14ac:dyDescent="0.25">
      <c r="B128" s="83"/>
      <c r="C128" s="83"/>
      <c r="D128" s="83"/>
      <c r="E128" s="83"/>
      <c r="F128" s="83"/>
      <c r="G128" s="83"/>
      <c r="H128" s="83"/>
    </row>
    <row r="129" spans="2:9" x14ac:dyDescent="0.25">
      <c r="B129" s="70" t="s">
        <v>69</v>
      </c>
      <c r="C129" s="70"/>
      <c r="D129" s="70"/>
      <c r="E129" s="70"/>
      <c r="F129" s="70"/>
      <c r="G129" s="70"/>
    </row>
    <row r="130" spans="2:9" x14ac:dyDescent="0.25">
      <c r="B130" s="14" t="s">
        <v>70</v>
      </c>
      <c r="C130" s="27"/>
      <c r="D130" s="27"/>
      <c r="E130" s="27"/>
      <c r="F130" s="27"/>
      <c r="G130" s="27">
        <f>SUM(C130:F130)</f>
        <v>0</v>
      </c>
    </row>
    <row r="131" spans="2:9" x14ac:dyDescent="0.25">
      <c r="B131" s="14" t="s">
        <v>71</v>
      </c>
      <c r="C131" s="27"/>
      <c r="D131" s="27"/>
      <c r="E131" s="27"/>
      <c r="F131" s="27"/>
      <c r="G131" s="11">
        <f>SUM(C131:F131)</f>
        <v>0</v>
      </c>
    </row>
    <row r="132" spans="2:9" x14ac:dyDescent="0.25">
      <c r="B132" s="71"/>
      <c r="C132" s="71"/>
      <c r="D132" s="71"/>
      <c r="E132" s="71"/>
      <c r="F132" s="71"/>
      <c r="G132" s="71"/>
      <c r="H132" s="71"/>
    </row>
    <row r="133" spans="2:9" x14ac:dyDescent="0.25">
      <c r="B133" s="70" t="s">
        <v>72</v>
      </c>
      <c r="C133" s="70"/>
      <c r="D133" s="70"/>
      <c r="E133" s="70"/>
      <c r="F133" s="70"/>
      <c r="G133" s="70"/>
    </row>
    <row r="134" spans="2:9" x14ac:dyDescent="0.25">
      <c r="B134" s="14" t="s">
        <v>73</v>
      </c>
      <c r="C134" s="27"/>
      <c r="D134" s="27"/>
      <c r="E134" s="27"/>
      <c r="F134" s="27"/>
      <c r="G134" s="27">
        <f>SUM(C134:F134)</f>
        <v>0</v>
      </c>
    </row>
    <row r="135" spans="2:9" x14ac:dyDescent="0.25">
      <c r="B135" s="71"/>
      <c r="C135" s="71"/>
      <c r="D135" s="71"/>
      <c r="E135" s="71"/>
      <c r="F135" s="71"/>
      <c r="G135" s="71"/>
      <c r="H135" s="71"/>
    </row>
    <row r="136" spans="2:9" ht="21" x14ac:dyDescent="0.35">
      <c r="B136" s="79" t="s">
        <v>74</v>
      </c>
      <c r="C136" s="79"/>
      <c r="D136" s="79"/>
      <c r="E136" s="79"/>
      <c r="F136" s="79"/>
      <c r="G136" s="79"/>
    </row>
    <row r="137" spans="2:9" x14ac:dyDescent="0.25">
      <c r="B137" s="70" t="s">
        <v>75</v>
      </c>
      <c r="C137" s="70"/>
      <c r="D137" s="70"/>
      <c r="E137" s="70"/>
      <c r="F137" s="70"/>
      <c r="G137" s="70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/>
      <c r="G138" s="27">
        <f>SUM(C138:F138)</f>
        <v>0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/>
      <c r="G139" s="27">
        <f>SUM(C139:F139)</f>
        <v>0</v>
      </c>
      <c r="H139" s="7"/>
      <c r="I139" s="7"/>
    </row>
    <row r="140" spans="2:9" x14ac:dyDescent="0.25">
      <c r="B140" s="71"/>
      <c r="C140" s="71"/>
      <c r="D140" s="71"/>
      <c r="E140" s="71"/>
      <c r="F140" s="71"/>
      <c r="G140" s="71"/>
      <c r="H140" s="71"/>
      <c r="I140" s="7"/>
    </row>
    <row r="141" spans="2:9" x14ac:dyDescent="0.25">
      <c r="B141" s="71"/>
      <c r="C141" s="71"/>
      <c r="D141" s="71"/>
      <c r="E141" s="71"/>
      <c r="F141" s="71"/>
      <c r="G141" s="71"/>
      <c r="H141" s="71"/>
    </row>
    <row r="142" spans="2:9" ht="21" x14ac:dyDescent="0.35">
      <c r="B142" s="80" t="s">
        <v>78</v>
      </c>
      <c r="C142" s="81"/>
      <c r="D142" s="81"/>
      <c r="E142" s="81"/>
      <c r="F142" s="81"/>
      <c r="G142" s="82"/>
    </row>
    <row r="143" spans="2:9" x14ac:dyDescent="0.25">
      <c r="B143" s="76" t="s">
        <v>79</v>
      </c>
      <c r="C143" s="77"/>
      <c r="D143" s="77"/>
      <c r="E143" s="77"/>
      <c r="F143" s="77"/>
      <c r="G143" s="78"/>
    </row>
    <row r="144" spans="2:9" x14ac:dyDescent="0.25">
      <c r="B144" s="71"/>
      <c r="C144" s="71"/>
      <c r="D144" s="71"/>
      <c r="E144" s="71"/>
      <c r="F144" s="71"/>
      <c r="G144" s="71"/>
      <c r="H144" s="71"/>
    </row>
    <row r="145" spans="2:8" x14ac:dyDescent="0.25">
      <c r="B145" s="75" t="s">
        <v>80</v>
      </c>
      <c r="C145" s="75"/>
      <c r="D145" s="75"/>
      <c r="E145" s="75"/>
      <c r="F145" s="75"/>
      <c r="G145" s="75"/>
    </row>
    <row r="146" spans="2:8" x14ac:dyDescent="0.25">
      <c r="B146" s="14" t="s">
        <v>81</v>
      </c>
      <c r="C146" s="27">
        <v>0</v>
      </c>
      <c r="D146" s="27"/>
      <c r="E146" s="27"/>
      <c r="F146" s="24"/>
      <c r="G146" s="27">
        <f>SUM(C146:F146)</f>
        <v>0</v>
      </c>
    </row>
    <row r="147" spans="2:8" x14ac:dyDescent="0.25">
      <c r="B147" s="14" t="s">
        <v>82</v>
      </c>
      <c r="C147" s="27">
        <v>0</v>
      </c>
      <c r="D147" s="27"/>
      <c r="E147" s="27"/>
      <c r="F147" s="24"/>
      <c r="G147" s="11">
        <f>SUM(C147:F147)</f>
        <v>0</v>
      </c>
    </row>
    <row r="148" spans="2:8" x14ac:dyDescent="0.25">
      <c r="B148" s="71"/>
      <c r="C148" s="71"/>
      <c r="D148" s="71"/>
      <c r="E148" s="71"/>
      <c r="F148" s="71"/>
      <c r="G148" s="71"/>
      <c r="H148" s="71"/>
    </row>
    <row r="149" spans="2:8" x14ac:dyDescent="0.25">
      <c r="B149" s="75" t="s">
        <v>83</v>
      </c>
      <c r="C149" s="75"/>
      <c r="D149" s="75"/>
      <c r="E149" s="75"/>
      <c r="F149" s="75"/>
      <c r="G149" s="75"/>
    </row>
    <row r="150" spans="2:8" x14ac:dyDescent="0.25">
      <c r="B150" s="14" t="s">
        <v>84</v>
      </c>
      <c r="C150" s="27">
        <v>0</v>
      </c>
      <c r="D150" s="36"/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/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71"/>
      <c r="C152" s="71"/>
      <c r="D152" s="71"/>
      <c r="E152" s="71"/>
      <c r="F152" s="71"/>
      <c r="G152" s="71"/>
      <c r="H152" s="71"/>
    </row>
    <row r="153" spans="2:8" x14ac:dyDescent="0.25">
      <c r="B153" s="75" t="s">
        <v>86</v>
      </c>
      <c r="C153" s="75"/>
      <c r="D153" s="75"/>
      <c r="E153" s="75"/>
      <c r="F153" s="75"/>
      <c r="G153" s="75"/>
    </row>
    <row r="154" spans="2:8" x14ac:dyDescent="0.25">
      <c r="B154" s="14" t="s">
        <v>87</v>
      </c>
      <c r="C154" s="27">
        <v>0</v>
      </c>
      <c r="D154" s="27"/>
      <c r="E154" s="67"/>
      <c r="F154" s="27">
        <v>0</v>
      </c>
      <c r="G154" s="27">
        <f>SUM(C154:F154)</f>
        <v>0</v>
      </c>
      <c r="H154"/>
    </row>
    <row r="155" spans="2:8" x14ac:dyDescent="0.25">
      <c r="B155" s="14" t="s">
        <v>88</v>
      </c>
      <c r="C155" s="27">
        <v>0</v>
      </c>
      <c r="D155" s="27"/>
      <c r="E155" s="65"/>
      <c r="F155" s="27">
        <v>0</v>
      </c>
      <c r="G155" s="11">
        <f>SUM(C155:F155)</f>
        <v>0</v>
      </c>
      <c r="H155"/>
    </row>
    <row r="156" spans="2:8" x14ac:dyDescent="0.25">
      <c r="B156" s="71"/>
      <c r="C156" s="71"/>
      <c r="D156" s="71"/>
      <c r="E156" s="71"/>
      <c r="F156" s="71"/>
      <c r="G156" s="71"/>
      <c r="H156" s="71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0</v>
      </c>
      <c r="E158" s="19"/>
      <c r="F158" s="19">
        <f t="shared" ref="F158:F159" si="5">+F146+F154</f>
        <v>0</v>
      </c>
      <c r="G158" s="19">
        <f>SUM(C158:F158)</f>
        <v>0</v>
      </c>
    </row>
    <row r="159" spans="2:8" x14ac:dyDescent="0.25">
      <c r="B159" s="18" t="s">
        <v>91</v>
      </c>
      <c r="C159" s="19">
        <v>0</v>
      </c>
      <c r="D159" s="19">
        <f>D147+D151+D155</f>
        <v>0</v>
      </c>
      <c r="E159" s="19"/>
      <c r="F159" s="19">
        <f t="shared" si="5"/>
        <v>0</v>
      </c>
      <c r="G159" s="22">
        <f>SUM(C159:F159)</f>
        <v>0</v>
      </c>
    </row>
    <row r="160" spans="2:8" x14ac:dyDescent="0.25">
      <c r="B160" s="71"/>
      <c r="C160" s="71"/>
      <c r="D160" s="71"/>
      <c r="E160" s="71"/>
      <c r="F160" s="71"/>
      <c r="G160" s="71"/>
      <c r="H160" s="71"/>
    </row>
    <row r="161" spans="2:8" x14ac:dyDescent="0.25">
      <c r="B161" s="70" t="s">
        <v>92</v>
      </c>
      <c r="C161" s="70"/>
      <c r="D161" s="70"/>
      <c r="E161" s="70"/>
      <c r="F161" s="70"/>
      <c r="G161" s="70"/>
    </row>
    <row r="162" spans="2:8" x14ac:dyDescent="0.25">
      <c r="B162" s="14" t="s">
        <v>87</v>
      </c>
      <c r="C162" s="27"/>
      <c r="D162" s="27"/>
      <c r="E162" s="27"/>
      <c r="F162" s="27"/>
      <c r="G162" s="27">
        <f>SUM(C162:F162)</f>
        <v>0</v>
      </c>
    </row>
    <row r="163" spans="2:8" x14ac:dyDescent="0.25">
      <c r="B163" s="14" t="s">
        <v>88</v>
      </c>
      <c r="C163" s="27"/>
      <c r="D163" s="27"/>
      <c r="E163" s="27"/>
      <c r="F163" s="27"/>
      <c r="G163" s="11">
        <f>SUM(C163:F163)</f>
        <v>0</v>
      </c>
    </row>
    <row r="164" spans="2:8" x14ac:dyDescent="0.25">
      <c r="B164" s="71"/>
      <c r="C164" s="71"/>
      <c r="D164" s="71"/>
      <c r="E164" s="71"/>
      <c r="F164" s="71"/>
      <c r="G164" s="71"/>
    </row>
    <row r="165" spans="2:8" x14ac:dyDescent="0.25">
      <c r="B165" s="76" t="s">
        <v>93</v>
      </c>
      <c r="C165" s="77"/>
      <c r="D165" s="77"/>
      <c r="E165" s="77"/>
      <c r="F165" s="77"/>
      <c r="G165" s="78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/>
      <c r="D167" s="27"/>
      <c r="E167" s="27"/>
      <c r="F167" s="27"/>
      <c r="G167" s="27">
        <f>SUM(C167:F167)</f>
        <v>0</v>
      </c>
    </row>
    <row r="168" spans="2:8" x14ac:dyDescent="0.25">
      <c r="B168" s="14" t="s">
        <v>96</v>
      </c>
      <c r="C168" s="27"/>
      <c r="D168" s="27"/>
      <c r="E168" s="27"/>
      <c r="F168" s="27"/>
      <c r="G168" s="11">
        <f>SUM(C168:F168)</f>
        <v>0</v>
      </c>
    </row>
    <row r="169" spans="2:8" x14ac:dyDescent="0.25">
      <c r="B169" s="71"/>
      <c r="C169" s="71"/>
      <c r="D169" s="71"/>
      <c r="E169" s="71"/>
      <c r="F169" s="71"/>
      <c r="G169" s="71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/>
      <c r="D171" s="27"/>
      <c r="E171" s="27"/>
      <c r="F171" s="27"/>
      <c r="G171" s="27">
        <f>SUM(C171:F171)</f>
        <v>0</v>
      </c>
    </row>
    <row r="172" spans="2:8" x14ac:dyDescent="0.25">
      <c r="B172" s="14" t="s">
        <v>96</v>
      </c>
      <c r="C172" s="27"/>
      <c r="D172" s="27"/>
      <c r="E172" s="27"/>
      <c r="F172" s="27"/>
      <c r="G172" s="11">
        <f>SUM(C172:F172)</f>
        <v>0</v>
      </c>
    </row>
    <row r="173" spans="2:8" x14ac:dyDescent="0.25">
      <c r="B173" s="71"/>
      <c r="C173" s="71"/>
      <c r="D173" s="71"/>
      <c r="E173" s="71"/>
      <c r="F173" s="71"/>
      <c r="G173" s="71"/>
      <c r="H173" s="71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/>
      <c r="D175" s="27"/>
      <c r="E175" s="27"/>
      <c r="F175" s="27"/>
      <c r="G175" s="27">
        <f>SUM(C175:F175)</f>
        <v>0</v>
      </c>
    </row>
    <row r="176" spans="2:8" x14ac:dyDescent="0.25">
      <c r="B176" s="14" t="s">
        <v>96</v>
      </c>
      <c r="C176" s="27"/>
      <c r="D176" s="27"/>
      <c r="E176" s="27"/>
      <c r="F176" s="27"/>
      <c r="G176" s="11">
        <f>SUM(C176:F176)</f>
        <v>0</v>
      </c>
    </row>
    <row r="177" spans="2:8" x14ac:dyDescent="0.25">
      <c r="B177" s="71"/>
      <c r="C177" s="71"/>
      <c r="D177" s="71"/>
      <c r="E177" s="71"/>
      <c r="F177" s="71"/>
      <c r="G177" s="71"/>
      <c r="H177" s="71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/>
      <c r="D179" s="27"/>
      <c r="E179" s="27">
        <v>0</v>
      </c>
      <c r="F179" s="27">
        <v>0</v>
      </c>
      <c r="G179" s="27">
        <f>SUM(C179:F179)</f>
        <v>0</v>
      </c>
    </row>
    <row r="180" spans="2:8" x14ac:dyDescent="0.25">
      <c r="B180" s="14" t="s">
        <v>96</v>
      </c>
      <c r="C180" s="27"/>
      <c r="D180" s="27"/>
      <c r="E180" s="27">
        <v>0</v>
      </c>
      <c r="F180" s="27">
        <v>0</v>
      </c>
      <c r="G180" s="11">
        <f>SUM(C180:F180)</f>
        <v>0</v>
      </c>
    </row>
    <row r="181" spans="2:8" x14ac:dyDescent="0.25">
      <c r="B181" s="71"/>
      <c r="C181" s="71"/>
      <c r="D181" s="71"/>
      <c r="E181" s="71"/>
      <c r="F181" s="71"/>
      <c r="G181" s="71"/>
      <c r="H181" s="71"/>
    </row>
    <row r="182" spans="2:8" x14ac:dyDescent="0.25">
      <c r="B182" s="70" t="s">
        <v>101</v>
      </c>
      <c r="C182" s="70"/>
      <c r="D182" s="70"/>
      <c r="E182" s="70"/>
      <c r="F182" s="70"/>
      <c r="G182" s="70"/>
    </row>
    <row r="183" spans="2:8" x14ac:dyDescent="0.25">
      <c r="B183" s="18" t="s">
        <v>102</v>
      </c>
      <c r="C183" s="19">
        <f>+C179+C175+C171+C167</f>
        <v>0</v>
      </c>
      <c r="D183" s="19">
        <f>D167+D171+D175+D179</f>
        <v>0</v>
      </c>
      <c r="E183" s="19"/>
      <c r="F183" s="19">
        <f>+F179+F175+F171+F167</f>
        <v>0</v>
      </c>
      <c r="G183" s="19">
        <f>SUM(C183:F183)</f>
        <v>0</v>
      </c>
    </row>
    <row r="184" spans="2:8" x14ac:dyDescent="0.25">
      <c r="B184" s="18" t="s">
        <v>103</v>
      </c>
      <c r="C184" s="19">
        <f>+C180+C176+C172+C168</f>
        <v>0</v>
      </c>
      <c r="D184" s="19">
        <f>D168+D172+D176+D180</f>
        <v>0</v>
      </c>
      <c r="E184" s="19"/>
      <c r="F184" s="19">
        <f>+F180+F176+F172+F168</f>
        <v>0</v>
      </c>
      <c r="G184" s="22">
        <f>SUM(C184:F184)</f>
        <v>0</v>
      </c>
    </row>
    <row r="185" spans="2:8" x14ac:dyDescent="0.25">
      <c r="B185" s="71"/>
      <c r="C185" s="71"/>
      <c r="D185" s="71"/>
      <c r="E185" s="71"/>
      <c r="F185" s="71"/>
      <c r="G185" s="71"/>
      <c r="H185" s="71"/>
    </row>
    <row r="186" spans="2:8" x14ac:dyDescent="0.25">
      <c r="B186" s="70" t="s">
        <v>104</v>
      </c>
      <c r="C186" s="70"/>
      <c r="D186" s="70"/>
      <c r="E186" s="70"/>
      <c r="F186" s="70"/>
      <c r="G186" s="70"/>
    </row>
    <row r="187" spans="2:8" x14ac:dyDescent="0.25">
      <c r="B187" s="14" t="s">
        <v>105</v>
      </c>
      <c r="C187" s="27"/>
      <c r="D187" s="27"/>
      <c r="E187" s="27"/>
      <c r="F187" s="27">
        <f>F166+F171+F175+F179+F162</f>
        <v>0</v>
      </c>
      <c r="G187" s="27">
        <f>SUM(C187:F187)</f>
        <v>0</v>
      </c>
    </row>
    <row r="188" spans="2:8" x14ac:dyDescent="0.25">
      <c r="B188" s="14" t="s">
        <v>106</v>
      </c>
      <c r="C188" s="27"/>
      <c r="D188" s="27"/>
      <c r="E188" s="27"/>
      <c r="F188" s="27">
        <f>F167+F172+F176+F180+F163</f>
        <v>0</v>
      </c>
      <c r="G188" s="11">
        <f>SUM(C188:F188)</f>
        <v>0</v>
      </c>
    </row>
    <row r="189" spans="2:8" x14ac:dyDescent="0.25">
      <c r="B189" s="71"/>
      <c r="C189" s="71"/>
      <c r="D189" s="71"/>
      <c r="E189" s="71"/>
      <c r="F189" s="71"/>
      <c r="G189" s="71"/>
      <c r="H189" s="71"/>
    </row>
    <row r="190" spans="2:8" x14ac:dyDescent="0.25">
      <c r="B190" s="70" t="s">
        <v>107</v>
      </c>
      <c r="C190" s="70"/>
      <c r="D190" s="70"/>
      <c r="E190" s="70"/>
      <c r="F190" s="70"/>
      <c r="G190" s="70"/>
    </row>
    <row r="191" spans="2:8" x14ac:dyDescent="0.25">
      <c r="B191" s="18" t="s">
        <v>108</v>
      </c>
      <c r="C191" s="19">
        <f>C187+C162+C183</f>
        <v>0</v>
      </c>
      <c r="D191" s="19">
        <f>+D187+D183+D162+D158</f>
        <v>0</v>
      </c>
      <c r="E191" s="19"/>
      <c r="F191" s="19">
        <f>F158+F162+F183+F187</f>
        <v>0</v>
      </c>
      <c r="G191" s="19">
        <f>SUM(C191:F191)</f>
        <v>0</v>
      </c>
    </row>
    <row r="192" spans="2:8" x14ac:dyDescent="0.25">
      <c r="B192" s="18" t="s">
        <v>109</v>
      </c>
      <c r="C192" s="19">
        <f>C188+C163+C184</f>
        <v>0</v>
      </c>
      <c r="D192" s="19">
        <f>+D188+D184+D163+D159</f>
        <v>0</v>
      </c>
      <c r="E192" s="19"/>
      <c r="F192" s="19">
        <f>F159+F184+F163+F188</f>
        <v>0</v>
      </c>
      <c r="G192" s="22">
        <f>SUM(C192:F192)</f>
        <v>0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  <vt:lpstr>Ene-25</vt:lpstr>
      <vt:lpstr>Feb-25</vt:lpstr>
      <vt:lpstr>Mar-25</vt:lpstr>
      <vt:lpstr>Abr-25</vt:lpstr>
      <vt:lpstr>May-25</vt:lpstr>
      <vt:lpstr>Jun-25</vt:lpstr>
      <vt:lpstr>Jul-25</vt:lpstr>
      <vt:lpstr>Ago-25</vt:lpstr>
      <vt:lpstr>Sep-25</vt:lpstr>
      <vt:lpstr>Oct-25</vt:lpstr>
      <vt:lpstr>Nov-25</vt:lpstr>
      <vt:lpstr>Dic-25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2025-10-06T12:31:51Z</dcterms:modified>
  <cp:category/>
  <cp:contentStatus/>
</cp:coreProperties>
</file>