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que\Desktop\EstadisticasWEB\Carga Estadisticas\"/>
    </mc:Choice>
  </mc:AlternateContent>
  <xr:revisionPtr revIDLastSave="0" documentId="13_ncr:1_{39B856E2-2528-4107-B93C-604BC86C2A23}" xr6:coauthVersionLast="47" xr6:coauthVersionMax="47" xr10:uidLastSave="{00000000-0000-0000-0000-000000000000}"/>
  <bookViews>
    <workbookView xWindow="-120" yWindow="-120" windowWidth="19800" windowHeight="11760" tabRatio="781" firstSheet="8" activeTab="11" xr2:uid="{00000000-000D-0000-FFFF-FFFF00000000}"/>
  </bookViews>
  <sheets>
    <sheet name="Ene-22" sheetId="68" r:id="rId1"/>
    <sheet name="Feb-22" sheetId="69" r:id="rId2"/>
    <sheet name="Mar-22" sheetId="70" r:id="rId3"/>
    <sheet name="Abr-22" sheetId="71" r:id="rId4"/>
    <sheet name="May-22" sheetId="72" r:id="rId5"/>
    <sheet name="Jun-22" sheetId="73" r:id="rId6"/>
    <sheet name="Jul-22" sheetId="74" r:id="rId7"/>
    <sheet name="Ago-22" sheetId="75" r:id="rId8"/>
    <sheet name="Sep-22" sheetId="76" r:id="rId9"/>
    <sheet name="Oct-22" sheetId="77" r:id="rId10"/>
    <sheet name="Nov-22" sheetId="78" r:id="rId11"/>
    <sheet name="Dic-22" sheetId="7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79" l="1"/>
  <c r="E188" i="79"/>
  <c r="E176" i="79"/>
  <c r="E172" i="79"/>
  <c r="E168" i="79"/>
  <c r="E163" i="79"/>
  <c r="E134" i="79"/>
  <c r="D35" i="79"/>
  <c r="C188" i="79" l="1"/>
  <c r="C180" i="79"/>
  <c r="C176" i="79"/>
  <c r="C172" i="79"/>
  <c r="C168" i="79"/>
  <c r="C163" i="79"/>
  <c r="C49" i="79"/>
  <c r="C45" i="79"/>
  <c r="C41" i="79"/>
  <c r="C21" i="79"/>
  <c r="C27" i="79" s="1"/>
  <c r="G16" i="79"/>
  <c r="G188" i="79"/>
  <c r="G187" i="79"/>
  <c r="F184" i="79"/>
  <c r="E184" i="79"/>
  <c r="D184" i="79"/>
  <c r="C184" i="79"/>
  <c r="F183" i="79"/>
  <c r="E183" i="79"/>
  <c r="D183" i="79"/>
  <c r="C183" i="79"/>
  <c r="C191" i="79" s="1"/>
  <c r="G180" i="79"/>
  <c r="G179" i="79"/>
  <c r="G176" i="79"/>
  <c r="G175" i="79"/>
  <c r="G172" i="79"/>
  <c r="G171" i="79"/>
  <c r="G168" i="79"/>
  <c r="G167" i="79"/>
  <c r="G163" i="79"/>
  <c r="G162" i="79"/>
  <c r="F159" i="79"/>
  <c r="D159" i="79"/>
  <c r="F158" i="79"/>
  <c r="E158" i="79"/>
  <c r="D158" i="79"/>
  <c r="G155" i="79"/>
  <c r="G154" i="79"/>
  <c r="G151" i="79"/>
  <c r="G150" i="79"/>
  <c r="G147" i="79"/>
  <c r="G146" i="79"/>
  <c r="G139" i="79"/>
  <c r="G138" i="79"/>
  <c r="G134" i="79"/>
  <c r="G131" i="79"/>
  <c r="G130" i="79"/>
  <c r="G127" i="79"/>
  <c r="G125" i="79"/>
  <c r="G122" i="79"/>
  <c r="G121" i="79"/>
  <c r="G120" i="79"/>
  <c r="G118" i="79"/>
  <c r="G117" i="79"/>
  <c r="G116" i="79"/>
  <c r="G113" i="79"/>
  <c r="G112" i="79"/>
  <c r="G111" i="79"/>
  <c r="G109" i="79"/>
  <c r="G108" i="79"/>
  <c r="G107" i="79"/>
  <c r="F103" i="79"/>
  <c r="E103" i="79"/>
  <c r="D103" i="79"/>
  <c r="C103" i="79"/>
  <c r="F102" i="79"/>
  <c r="E102" i="79"/>
  <c r="D102" i="79"/>
  <c r="C102" i="79"/>
  <c r="G101" i="79"/>
  <c r="G100" i="79"/>
  <c r="G99" i="79"/>
  <c r="G97" i="79"/>
  <c r="G96" i="79"/>
  <c r="G95" i="79"/>
  <c r="G94" i="79"/>
  <c r="G93" i="79"/>
  <c r="G91" i="79"/>
  <c r="G90" i="79"/>
  <c r="G89" i="79"/>
  <c r="G88" i="79"/>
  <c r="G87" i="79"/>
  <c r="G85" i="79"/>
  <c r="G84" i="79"/>
  <c r="G83" i="79"/>
  <c r="G82" i="79"/>
  <c r="G81" i="79"/>
  <c r="F77" i="79"/>
  <c r="E77" i="79"/>
  <c r="D77" i="79"/>
  <c r="C77" i="79"/>
  <c r="F76" i="79"/>
  <c r="E76" i="79"/>
  <c r="D76" i="79"/>
  <c r="C76" i="79"/>
  <c r="F75" i="79"/>
  <c r="D75" i="79"/>
  <c r="F74" i="79"/>
  <c r="E74" i="79"/>
  <c r="D74" i="79"/>
  <c r="C74" i="79"/>
  <c r="F73" i="79"/>
  <c r="E73" i="79"/>
  <c r="D73" i="79"/>
  <c r="C73" i="79"/>
  <c r="G71" i="79"/>
  <c r="G70" i="79"/>
  <c r="G69" i="79"/>
  <c r="G68" i="79"/>
  <c r="G67" i="79"/>
  <c r="G65" i="79"/>
  <c r="G64" i="79"/>
  <c r="G61" i="79"/>
  <c r="G59" i="79"/>
  <c r="G58" i="79"/>
  <c r="G57" i="79"/>
  <c r="G56" i="79"/>
  <c r="G55" i="79"/>
  <c r="G49" i="79"/>
  <c r="G48" i="79"/>
  <c r="G45" i="79"/>
  <c r="G44" i="79"/>
  <c r="G41" i="79"/>
  <c r="G40" i="79"/>
  <c r="G35" i="79"/>
  <c r="G34" i="79"/>
  <c r="G33" i="79"/>
  <c r="G30" i="79"/>
  <c r="D27" i="79"/>
  <c r="G24" i="79"/>
  <c r="F21" i="79"/>
  <c r="F27" i="79" s="1"/>
  <c r="E21" i="79"/>
  <c r="G19" i="79"/>
  <c r="G15" i="79"/>
  <c r="G14" i="79"/>
  <c r="G13" i="79"/>
  <c r="G12" i="79"/>
  <c r="G8" i="79"/>
  <c r="G7" i="79"/>
  <c r="G6" i="79"/>
  <c r="E158" i="78"/>
  <c r="E21" i="78"/>
  <c r="E27" i="78" s="1"/>
  <c r="G188" i="78"/>
  <c r="G187" i="78"/>
  <c r="F184" i="78"/>
  <c r="E184" i="78"/>
  <c r="D184" i="78"/>
  <c r="C184" i="78"/>
  <c r="C192" i="78" s="1"/>
  <c r="F183" i="78"/>
  <c r="E183" i="78"/>
  <c r="D183" i="78"/>
  <c r="C183" i="78"/>
  <c r="C191" i="78" s="1"/>
  <c r="G180" i="78"/>
  <c r="G179" i="78"/>
  <c r="G176" i="78"/>
  <c r="G175" i="78"/>
  <c r="G172" i="78"/>
  <c r="G171" i="78"/>
  <c r="G168" i="78"/>
  <c r="G167" i="78"/>
  <c r="G163" i="78"/>
  <c r="G162" i="78"/>
  <c r="F159" i="78"/>
  <c r="F192" i="78" s="1"/>
  <c r="D159" i="78"/>
  <c r="F158" i="78"/>
  <c r="D158" i="78"/>
  <c r="G155" i="78"/>
  <c r="G154" i="78"/>
  <c r="G151" i="78"/>
  <c r="G150" i="78"/>
  <c r="G147" i="78"/>
  <c r="G146" i="78"/>
  <c r="G139" i="78"/>
  <c r="G138" i="78"/>
  <c r="G134" i="78"/>
  <c r="G131" i="78"/>
  <c r="G130" i="78"/>
  <c r="G127" i="78"/>
  <c r="G125" i="78"/>
  <c r="G122" i="78"/>
  <c r="G121" i="78"/>
  <c r="G120" i="78"/>
  <c r="G118" i="78"/>
  <c r="G117" i="78"/>
  <c r="G116" i="78"/>
  <c r="G113" i="78"/>
  <c r="G112" i="78"/>
  <c r="G111" i="78"/>
  <c r="G109" i="78"/>
  <c r="G108" i="78"/>
  <c r="G107" i="78"/>
  <c r="F103" i="78"/>
  <c r="E103" i="78"/>
  <c r="D103" i="78"/>
  <c r="C103" i="78"/>
  <c r="F102" i="78"/>
  <c r="E102" i="78"/>
  <c r="D102" i="78"/>
  <c r="C102" i="78"/>
  <c r="G101" i="78"/>
  <c r="G100" i="78"/>
  <c r="G99" i="78"/>
  <c r="G97" i="78"/>
  <c r="G96" i="78"/>
  <c r="G95" i="78"/>
  <c r="G94" i="78"/>
  <c r="G93" i="78"/>
  <c r="G91" i="78"/>
  <c r="G90" i="78"/>
  <c r="G89" i="78"/>
  <c r="G88" i="78"/>
  <c r="G87" i="78"/>
  <c r="G85" i="78"/>
  <c r="G84" i="78"/>
  <c r="G83" i="78"/>
  <c r="G82" i="78"/>
  <c r="G81" i="78"/>
  <c r="F77" i="78"/>
  <c r="E77" i="78"/>
  <c r="D77" i="78"/>
  <c r="C77" i="78"/>
  <c r="F76" i="78"/>
  <c r="E76" i="78"/>
  <c r="D76" i="78"/>
  <c r="C76" i="78"/>
  <c r="F75" i="78"/>
  <c r="D75" i="78"/>
  <c r="G75" i="78" s="1"/>
  <c r="F74" i="78"/>
  <c r="E74" i="78"/>
  <c r="D74" i="78"/>
  <c r="C74" i="78"/>
  <c r="F73" i="78"/>
  <c r="E73" i="78"/>
  <c r="D73" i="78"/>
  <c r="C73" i="78"/>
  <c r="G71" i="78"/>
  <c r="G70" i="78"/>
  <c r="G69" i="78"/>
  <c r="G68" i="78"/>
  <c r="G67" i="78"/>
  <c r="G65" i="78"/>
  <c r="G64" i="78"/>
  <c r="G61" i="78"/>
  <c r="G59" i="78"/>
  <c r="G58" i="78"/>
  <c r="G57" i="78"/>
  <c r="G56" i="78"/>
  <c r="G55" i="78"/>
  <c r="G49" i="78"/>
  <c r="G48" i="78"/>
  <c r="G45" i="78"/>
  <c r="G44" i="78"/>
  <c r="G41" i="78"/>
  <c r="G40" i="78"/>
  <c r="G35" i="78"/>
  <c r="G34" i="78"/>
  <c r="G33" i="78"/>
  <c r="G30" i="78"/>
  <c r="D27" i="78"/>
  <c r="G24" i="78"/>
  <c r="F21" i="78"/>
  <c r="F27" i="78" s="1"/>
  <c r="G19" i="78"/>
  <c r="G16" i="78"/>
  <c r="G15" i="78"/>
  <c r="G14" i="78"/>
  <c r="G13" i="78"/>
  <c r="G12" i="78"/>
  <c r="G8" i="78"/>
  <c r="G7" i="78"/>
  <c r="G6" i="78"/>
  <c r="F191" i="79" l="1"/>
  <c r="G75" i="79"/>
  <c r="G21" i="79"/>
  <c r="G184" i="79"/>
  <c r="F192" i="79"/>
  <c r="C192" i="79"/>
  <c r="G158" i="79"/>
  <c r="D191" i="79"/>
  <c r="D192" i="79"/>
  <c r="G102" i="79"/>
  <c r="G103" i="79"/>
  <c r="G73" i="79"/>
  <c r="G74" i="79"/>
  <c r="G76" i="79"/>
  <c r="G77" i="79"/>
  <c r="G27" i="79"/>
  <c r="G159" i="79"/>
  <c r="G183" i="79"/>
  <c r="G102" i="78"/>
  <c r="F191" i="78"/>
  <c r="D191" i="78"/>
  <c r="G191" i="78" s="1"/>
  <c r="D192" i="78"/>
  <c r="G192" i="78" s="1"/>
  <c r="G158" i="78"/>
  <c r="G73" i="78"/>
  <c r="G184" i="78"/>
  <c r="G103" i="78"/>
  <c r="G76" i="78"/>
  <c r="G77" i="78"/>
  <c r="G74" i="78"/>
  <c r="G27" i="78"/>
  <c r="G21" i="78"/>
  <c r="G159" i="78"/>
  <c r="G183" i="78"/>
  <c r="E188" i="77"/>
  <c r="E176" i="77"/>
  <c r="E172" i="77"/>
  <c r="E168" i="77"/>
  <c r="E35" i="77"/>
  <c r="E8" i="77"/>
  <c r="G191" i="79" l="1"/>
  <c r="G192" i="79"/>
  <c r="C188" i="77"/>
  <c r="C45" i="77"/>
  <c r="G187" i="77"/>
  <c r="F184" i="77"/>
  <c r="D184" i="77"/>
  <c r="C184" i="77"/>
  <c r="F183" i="77"/>
  <c r="E183" i="77"/>
  <c r="D183" i="77"/>
  <c r="C183" i="77"/>
  <c r="C191" i="77" s="1"/>
  <c r="G180" i="77"/>
  <c r="G179" i="77"/>
  <c r="G176" i="77"/>
  <c r="E184" i="77"/>
  <c r="G175" i="77"/>
  <c r="G172" i="77"/>
  <c r="G171" i="77"/>
  <c r="G168" i="77"/>
  <c r="G167" i="77"/>
  <c r="G163" i="77"/>
  <c r="G162" i="77"/>
  <c r="F159" i="77"/>
  <c r="D159" i="77"/>
  <c r="F158" i="77"/>
  <c r="F191" i="77" s="1"/>
  <c r="D158" i="77"/>
  <c r="G155" i="77"/>
  <c r="G154" i="77"/>
  <c r="E151" i="77"/>
  <c r="G151" i="77" s="1"/>
  <c r="G150" i="77"/>
  <c r="G147" i="77"/>
  <c r="G146" i="77"/>
  <c r="G139" i="77"/>
  <c r="G138" i="77"/>
  <c r="G134" i="77"/>
  <c r="G131" i="77"/>
  <c r="G130" i="77"/>
  <c r="G127" i="77"/>
  <c r="G125" i="77"/>
  <c r="G122" i="77"/>
  <c r="G121" i="77"/>
  <c r="G120" i="77"/>
  <c r="G118" i="77"/>
  <c r="G117" i="77"/>
  <c r="G116" i="77"/>
  <c r="G113" i="77"/>
  <c r="G112" i="77"/>
  <c r="G111" i="77"/>
  <c r="G109" i="77"/>
  <c r="G108" i="77"/>
  <c r="G107" i="77"/>
  <c r="F103" i="77"/>
  <c r="E103" i="77"/>
  <c r="D103" i="77"/>
  <c r="C103" i="77"/>
  <c r="F102" i="77"/>
  <c r="E102" i="77"/>
  <c r="D102" i="77"/>
  <c r="C102" i="77"/>
  <c r="G101" i="77"/>
  <c r="G100" i="77"/>
  <c r="G99" i="77"/>
  <c r="G97" i="77"/>
  <c r="G96" i="77"/>
  <c r="G95" i="77"/>
  <c r="G94" i="77"/>
  <c r="G93" i="77"/>
  <c r="G91" i="77"/>
  <c r="G90" i="77"/>
  <c r="G89" i="77"/>
  <c r="G88" i="77"/>
  <c r="G87" i="77"/>
  <c r="G85" i="77"/>
  <c r="G84" i="77"/>
  <c r="G83" i="77"/>
  <c r="G82" i="77"/>
  <c r="G81" i="77"/>
  <c r="F77" i="77"/>
  <c r="E77" i="77"/>
  <c r="D77" i="77"/>
  <c r="C77" i="77"/>
  <c r="F76" i="77"/>
  <c r="E76" i="77"/>
  <c r="D76" i="77"/>
  <c r="C76" i="77"/>
  <c r="F75" i="77"/>
  <c r="D75" i="77"/>
  <c r="G75" i="77" s="1"/>
  <c r="F74" i="77"/>
  <c r="E74" i="77"/>
  <c r="D74" i="77"/>
  <c r="C74" i="77"/>
  <c r="F73" i="77"/>
  <c r="E73" i="77"/>
  <c r="D73" i="77"/>
  <c r="C73" i="77"/>
  <c r="G71" i="77"/>
  <c r="G70" i="77"/>
  <c r="G69" i="77"/>
  <c r="G68" i="77"/>
  <c r="G67" i="77"/>
  <c r="G65" i="77"/>
  <c r="G64" i="77"/>
  <c r="G61" i="77"/>
  <c r="G59" i="77"/>
  <c r="G58" i="77"/>
  <c r="G57" i="77"/>
  <c r="G56" i="77"/>
  <c r="G55" i="77"/>
  <c r="G49" i="77"/>
  <c r="G48" i="77"/>
  <c r="G45" i="77"/>
  <c r="G44" i="77"/>
  <c r="G41" i="77"/>
  <c r="G40" i="77"/>
  <c r="G35" i="77"/>
  <c r="G34" i="77"/>
  <c r="G33" i="77"/>
  <c r="G30" i="77"/>
  <c r="D27" i="77"/>
  <c r="G24" i="77"/>
  <c r="F21" i="77"/>
  <c r="F27" i="77" s="1"/>
  <c r="E21" i="77"/>
  <c r="E27" i="77" s="1"/>
  <c r="G19" i="77"/>
  <c r="G15" i="77"/>
  <c r="G14" i="77"/>
  <c r="G13" i="77"/>
  <c r="G12" i="77"/>
  <c r="G8" i="77"/>
  <c r="G7" i="77"/>
  <c r="G6" i="77"/>
  <c r="E188" i="76"/>
  <c r="E176" i="76"/>
  <c r="E172" i="76"/>
  <c r="E168" i="76"/>
  <c r="E151" i="76"/>
  <c r="E134" i="76"/>
  <c r="G158" i="77" l="1"/>
  <c r="D192" i="77"/>
  <c r="G76" i="77"/>
  <c r="G77" i="77"/>
  <c r="G16" i="77"/>
  <c r="C21" i="77"/>
  <c r="C27" i="77" s="1"/>
  <c r="G27" i="77" s="1"/>
  <c r="F192" i="77"/>
  <c r="C192" i="77"/>
  <c r="D191" i="77"/>
  <c r="G191" i="77" s="1"/>
  <c r="G103" i="77"/>
  <c r="G102" i="77"/>
  <c r="G73" i="77"/>
  <c r="G74" i="77"/>
  <c r="G184" i="77"/>
  <c r="G183" i="77"/>
  <c r="G159" i="77"/>
  <c r="G188" i="77"/>
  <c r="C188" i="76"/>
  <c r="C180" i="76"/>
  <c r="G180" i="76" s="1"/>
  <c r="C176" i="76"/>
  <c r="G176" i="76" s="1"/>
  <c r="C172" i="76"/>
  <c r="C168" i="76"/>
  <c r="C163" i="76"/>
  <c r="C49" i="76"/>
  <c r="G49" i="76" s="1"/>
  <c r="C45" i="76"/>
  <c r="C41" i="76"/>
  <c r="G187" i="76"/>
  <c r="F184" i="76"/>
  <c r="D184" i="76"/>
  <c r="F183" i="76"/>
  <c r="E183" i="76"/>
  <c r="D183" i="76"/>
  <c r="C183" i="76"/>
  <c r="C191" i="76" s="1"/>
  <c r="G179" i="76"/>
  <c r="E184" i="76"/>
  <c r="G175" i="76"/>
  <c r="G172" i="76"/>
  <c r="G171" i="76"/>
  <c r="G168" i="76"/>
  <c r="G167" i="76"/>
  <c r="G163" i="76"/>
  <c r="G162" i="76"/>
  <c r="F159" i="76"/>
  <c r="D159" i="76"/>
  <c r="F158" i="76"/>
  <c r="D158" i="76"/>
  <c r="G155" i="76"/>
  <c r="G154" i="76"/>
  <c r="G151" i="76"/>
  <c r="G150" i="76"/>
  <c r="G147" i="76"/>
  <c r="G146" i="76"/>
  <c r="G139" i="76"/>
  <c r="G138" i="76"/>
  <c r="G134" i="76"/>
  <c r="G131" i="76"/>
  <c r="G130" i="76"/>
  <c r="G127" i="76"/>
  <c r="G125" i="76"/>
  <c r="G122" i="76"/>
  <c r="G121" i="76"/>
  <c r="G120" i="76"/>
  <c r="G118" i="76"/>
  <c r="G117" i="76"/>
  <c r="G116" i="76"/>
  <c r="G113" i="76"/>
  <c r="G112" i="76"/>
  <c r="G111" i="76"/>
  <c r="G109" i="76"/>
  <c r="G108" i="76"/>
  <c r="G107" i="76"/>
  <c r="F103" i="76"/>
  <c r="E103" i="76"/>
  <c r="D103" i="76"/>
  <c r="C103" i="76"/>
  <c r="F102" i="76"/>
  <c r="E102" i="76"/>
  <c r="D102" i="76"/>
  <c r="C102" i="76"/>
  <c r="G101" i="76"/>
  <c r="G100" i="76"/>
  <c r="G99" i="76"/>
  <c r="G97" i="76"/>
  <c r="G96" i="76"/>
  <c r="G95" i="76"/>
  <c r="G94" i="76"/>
  <c r="G93" i="76"/>
  <c r="G91" i="76"/>
  <c r="G90" i="76"/>
  <c r="G89" i="76"/>
  <c r="G88" i="76"/>
  <c r="G87" i="76"/>
  <c r="G85" i="76"/>
  <c r="G84" i="76"/>
  <c r="G83" i="76"/>
  <c r="G82" i="76"/>
  <c r="G81" i="76"/>
  <c r="F77" i="76"/>
  <c r="E77" i="76"/>
  <c r="D77" i="76"/>
  <c r="C77" i="76"/>
  <c r="F76" i="76"/>
  <c r="E76" i="76"/>
  <c r="D76" i="76"/>
  <c r="C76" i="76"/>
  <c r="F75" i="76"/>
  <c r="D75" i="76"/>
  <c r="F74" i="76"/>
  <c r="E74" i="76"/>
  <c r="D74" i="76"/>
  <c r="C74" i="76"/>
  <c r="F73" i="76"/>
  <c r="E73" i="76"/>
  <c r="D73" i="76"/>
  <c r="C73" i="76"/>
  <c r="G71" i="76"/>
  <c r="G70" i="76"/>
  <c r="G69" i="76"/>
  <c r="G68" i="76"/>
  <c r="G67" i="76"/>
  <c r="G65" i="76"/>
  <c r="G64" i="76"/>
  <c r="G61" i="76"/>
  <c r="G59" i="76"/>
  <c r="G58" i="76"/>
  <c r="G57" i="76"/>
  <c r="G56" i="76"/>
  <c r="G55" i="76"/>
  <c r="G48" i="76"/>
  <c r="G45" i="76"/>
  <c r="G44" i="76"/>
  <c r="G41" i="76"/>
  <c r="G40" i="76"/>
  <c r="G35" i="76"/>
  <c r="G34" i="76"/>
  <c r="G33" i="76"/>
  <c r="G30" i="76"/>
  <c r="D27" i="76"/>
  <c r="G24" i="76"/>
  <c r="F21" i="76"/>
  <c r="F27" i="76" s="1"/>
  <c r="G19" i="76"/>
  <c r="G15" i="76"/>
  <c r="E21" i="76"/>
  <c r="E27" i="76" s="1"/>
  <c r="G13" i="76"/>
  <c r="G12" i="76"/>
  <c r="G8" i="76"/>
  <c r="G7" i="76"/>
  <c r="G6" i="76"/>
  <c r="E188" i="75"/>
  <c r="E176" i="75"/>
  <c r="E172" i="75"/>
  <c r="E168" i="75"/>
  <c r="E163" i="75"/>
  <c r="E159" i="75"/>
  <c r="E158" i="75"/>
  <c r="E151" i="75"/>
  <c r="E134" i="75"/>
  <c r="E35" i="75"/>
  <c r="E14" i="75"/>
  <c r="E16" i="75" s="1"/>
  <c r="D35" i="75"/>
  <c r="D16" i="75"/>
  <c r="D8" i="75"/>
  <c r="G21" i="77" l="1"/>
  <c r="G192" i="77"/>
  <c r="D191" i="76"/>
  <c r="F191" i="76"/>
  <c r="G75" i="76"/>
  <c r="F192" i="76"/>
  <c r="E191" i="76"/>
  <c r="G159" i="76"/>
  <c r="G158" i="76"/>
  <c r="D192" i="76"/>
  <c r="G103" i="76"/>
  <c r="G102" i="76"/>
  <c r="G73" i="76"/>
  <c r="G74" i="76"/>
  <c r="G76" i="76"/>
  <c r="G77" i="76"/>
  <c r="G16" i="76"/>
  <c r="C21" i="76"/>
  <c r="E192" i="76"/>
  <c r="G183" i="76"/>
  <c r="C184" i="76"/>
  <c r="G184" i="76" s="1"/>
  <c r="G188" i="76"/>
  <c r="G14" i="76"/>
  <c r="C188" i="75"/>
  <c r="C180" i="75"/>
  <c r="C176" i="75"/>
  <c r="C172" i="75"/>
  <c r="C168" i="75"/>
  <c r="G168" i="75" s="1"/>
  <c r="C163" i="75"/>
  <c r="C49" i="75"/>
  <c r="C45" i="75"/>
  <c r="C41" i="75"/>
  <c r="C35" i="75"/>
  <c r="C14" i="75"/>
  <c r="C16" i="75" s="1"/>
  <c r="C8" i="75"/>
  <c r="G8" i="75" s="1"/>
  <c r="G187" i="75"/>
  <c r="F184" i="75"/>
  <c r="D184" i="75"/>
  <c r="F183" i="75"/>
  <c r="E183" i="75"/>
  <c r="E191" i="75" s="1"/>
  <c r="D183" i="75"/>
  <c r="C183" i="75"/>
  <c r="C191" i="75" s="1"/>
  <c r="G180" i="75"/>
  <c r="C184" i="75"/>
  <c r="G179" i="75"/>
  <c r="E184" i="75"/>
  <c r="G176" i="75"/>
  <c r="G175" i="75"/>
  <c r="G172" i="75"/>
  <c r="G171" i="75"/>
  <c r="G167" i="75"/>
  <c r="G163" i="75"/>
  <c r="G162" i="75"/>
  <c r="F159" i="75"/>
  <c r="D159" i="75"/>
  <c r="F158" i="75"/>
  <c r="D158" i="75"/>
  <c r="G158" i="75" s="1"/>
  <c r="G155" i="75"/>
  <c r="G154" i="75"/>
  <c r="G151" i="75"/>
  <c r="G150" i="75"/>
  <c r="G147" i="75"/>
  <c r="G146" i="75"/>
  <c r="G139" i="75"/>
  <c r="G138" i="75"/>
  <c r="G134" i="75"/>
  <c r="G131" i="75"/>
  <c r="G130" i="75"/>
  <c r="G127" i="75"/>
  <c r="G125" i="75"/>
  <c r="G122" i="75"/>
  <c r="G121" i="75"/>
  <c r="G120" i="75"/>
  <c r="G118" i="75"/>
  <c r="G117" i="75"/>
  <c r="G116" i="75"/>
  <c r="G113" i="75"/>
  <c r="G112" i="75"/>
  <c r="G111" i="75"/>
  <c r="G109" i="75"/>
  <c r="G108" i="75"/>
  <c r="G107" i="75"/>
  <c r="F103" i="75"/>
  <c r="E103" i="75"/>
  <c r="D103" i="75"/>
  <c r="C103" i="75"/>
  <c r="F102" i="75"/>
  <c r="E102" i="75"/>
  <c r="D102" i="75"/>
  <c r="C102" i="75"/>
  <c r="G101" i="75"/>
  <c r="G100" i="75"/>
  <c r="G99" i="75"/>
  <c r="G97" i="75"/>
  <c r="G96" i="75"/>
  <c r="G95" i="75"/>
  <c r="G94" i="75"/>
  <c r="G93" i="75"/>
  <c r="G91" i="75"/>
  <c r="G90" i="75"/>
  <c r="G89" i="75"/>
  <c r="G88" i="75"/>
  <c r="G87" i="75"/>
  <c r="G85" i="75"/>
  <c r="G84" i="75"/>
  <c r="G83" i="75"/>
  <c r="G82" i="75"/>
  <c r="G81" i="75"/>
  <c r="F77" i="75"/>
  <c r="E77" i="75"/>
  <c r="D77" i="75"/>
  <c r="C77" i="75"/>
  <c r="F76" i="75"/>
  <c r="E76" i="75"/>
  <c r="D76" i="75"/>
  <c r="C76" i="75"/>
  <c r="F75" i="75"/>
  <c r="D75" i="75"/>
  <c r="F74" i="75"/>
  <c r="E74" i="75"/>
  <c r="D74" i="75"/>
  <c r="C74" i="75"/>
  <c r="F73" i="75"/>
  <c r="E73" i="75"/>
  <c r="D73" i="75"/>
  <c r="C73" i="75"/>
  <c r="G71" i="75"/>
  <c r="G70" i="75"/>
  <c r="G69" i="75"/>
  <c r="G68" i="75"/>
  <c r="G67" i="75"/>
  <c r="G65" i="75"/>
  <c r="G64" i="75"/>
  <c r="G61" i="75"/>
  <c r="G59" i="75"/>
  <c r="G58" i="75"/>
  <c r="G57" i="75"/>
  <c r="G56" i="75"/>
  <c r="G55" i="75"/>
  <c r="G49" i="75"/>
  <c r="G48" i="75"/>
  <c r="G45" i="75"/>
  <c r="G44" i="75"/>
  <c r="G41" i="75"/>
  <c r="G40" i="75"/>
  <c r="G35" i="75"/>
  <c r="G34" i="75"/>
  <c r="G33" i="75"/>
  <c r="G30" i="75"/>
  <c r="D27" i="75"/>
  <c r="G24" i="75"/>
  <c r="F21" i="75"/>
  <c r="F27" i="75" s="1"/>
  <c r="E21" i="75"/>
  <c r="E27" i="75" s="1"/>
  <c r="G19" i="75"/>
  <c r="G15" i="75"/>
  <c r="G13" i="75"/>
  <c r="G12" i="75"/>
  <c r="G7" i="75"/>
  <c r="G6" i="75"/>
  <c r="F187" i="74"/>
  <c r="F183" i="74"/>
  <c r="F184" i="74"/>
  <c r="F188" i="74"/>
  <c r="F159" i="74"/>
  <c r="F158" i="74"/>
  <c r="E188" i="74"/>
  <c r="E176" i="74"/>
  <c r="E172" i="74"/>
  <c r="E168" i="74"/>
  <c r="E163" i="74"/>
  <c r="E151" i="74"/>
  <c r="E134" i="74"/>
  <c r="E35" i="74"/>
  <c r="G191" i="76" l="1"/>
  <c r="C192" i="76"/>
  <c r="G192" i="76" s="1"/>
  <c r="G21" i="76"/>
  <c r="C27" i="76"/>
  <c r="G27" i="76" s="1"/>
  <c r="G159" i="75"/>
  <c r="G14" i="75"/>
  <c r="G76" i="75"/>
  <c r="G77" i="75"/>
  <c r="G75" i="75"/>
  <c r="G184" i="75"/>
  <c r="G16" i="75"/>
  <c r="C21" i="75"/>
  <c r="C27" i="75" s="1"/>
  <c r="G27" i="75" s="1"/>
  <c r="F192" i="75"/>
  <c r="F191" i="75"/>
  <c r="D192" i="75"/>
  <c r="D191" i="75"/>
  <c r="G103" i="75"/>
  <c r="G102" i="75"/>
  <c r="G73" i="75"/>
  <c r="G74" i="75"/>
  <c r="C192" i="75"/>
  <c r="E192" i="75"/>
  <c r="G188" i="75"/>
  <c r="G183" i="75"/>
  <c r="C188" i="74"/>
  <c r="C180" i="74"/>
  <c r="C176" i="74"/>
  <c r="G176" i="74" s="1"/>
  <c r="C172" i="74"/>
  <c r="C168" i="74"/>
  <c r="C49" i="74"/>
  <c r="C45" i="74"/>
  <c r="C41" i="74"/>
  <c r="G41" i="74" s="1"/>
  <c r="C35" i="74"/>
  <c r="G35" i="74" s="1"/>
  <c r="G188" i="74"/>
  <c r="G187" i="74"/>
  <c r="F192" i="74"/>
  <c r="D184" i="74"/>
  <c r="F191" i="74"/>
  <c r="E183" i="74"/>
  <c r="E191" i="74" s="1"/>
  <c r="D183" i="74"/>
  <c r="C183" i="74"/>
  <c r="C191" i="74" s="1"/>
  <c r="G180" i="74"/>
  <c r="G179" i="74"/>
  <c r="E184" i="74"/>
  <c r="E192" i="74" s="1"/>
  <c r="G175" i="74"/>
  <c r="G172" i="74"/>
  <c r="G171" i="74"/>
  <c r="G168" i="74"/>
  <c r="G167" i="74"/>
  <c r="G163" i="74"/>
  <c r="G162" i="74"/>
  <c r="D159" i="74"/>
  <c r="D158" i="74"/>
  <c r="G158" i="74" s="1"/>
  <c r="G155" i="74"/>
  <c r="G154" i="74"/>
  <c r="G151" i="74"/>
  <c r="G150" i="74"/>
  <c r="G147" i="74"/>
  <c r="G146" i="74"/>
  <c r="G139" i="74"/>
  <c r="G138" i="74"/>
  <c r="G134" i="74"/>
  <c r="G131" i="74"/>
  <c r="G130" i="74"/>
  <c r="G127" i="74"/>
  <c r="G125" i="74"/>
  <c r="G122" i="74"/>
  <c r="G121" i="74"/>
  <c r="G120" i="74"/>
  <c r="G118" i="74"/>
  <c r="G117" i="74"/>
  <c r="G116" i="74"/>
  <c r="G113" i="74"/>
  <c r="G112" i="74"/>
  <c r="G111" i="74"/>
  <c r="G109" i="74"/>
  <c r="G108" i="74"/>
  <c r="G107" i="74"/>
  <c r="F103" i="74"/>
  <c r="E103" i="74"/>
  <c r="D103" i="74"/>
  <c r="C103" i="74"/>
  <c r="F102" i="74"/>
  <c r="E102" i="74"/>
  <c r="D102" i="74"/>
  <c r="C102" i="74"/>
  <c r="G101" i="74"/>
  <c r="G100" i="74"/>
  <c r="G99" i="74"/>
  <c r="G97" i="74"/>
  <c r="G96" i="74"/>
  <c r="G95" i="74"/>
  <c r="G94" i="74"/>
  <c r="G93" i="74"/>
  <c r="G91" i="74"/>
  <c r="G90" i="74"/>
  <c r="G89" i="74"/>
  <c r="G88" i="74"/>
  <c r="G87" i="74"/>
  <c r="G85" i="74"/>
  <c r="G84" i="74"/>
  <c r="G83" i="74"/>
  <c r="G82" i="74"/>
  <c r="G81" i="74"/>
  <c r="F77" i="74"/>
  <c r="E77" i="74"/>
  <c r="D77" i="74"/>
  <c r="C77" i="74"/>
  <c r="F76" i="74"/>
  <c r="E76" i="74"/>
  <c r="D76" i="74"/>
  <c r="C76" i="74"/>
  <c r="F75" i="74"/>
  <c r="D75" i="74"/>
  <c r="F74" i="74"/>
  <c r="E74" i="74"/>
  <c r="D74" i="74"/>
  <c r="C74" i="74"/>
  <c r="F73" i="74"/>
  <c r="E73" i="74"/>
  <c r="D73" i="74"/>
  <c r="C73" i="74"/>
  <c r="G71" i="74"/>
  <c r="G70" i="74"/>
  <c r="G69" i="74"/>
  <c r="G68" i="74"/>
  <c r="G67" i="74"/>
  <c r="G65" i="74"/>
  <c r="G64" i="74"/>
  <c r="G61" i="74"/>
  <c r="G59" i="74"/>
  <c r="G58" i="74"/>
  <c r="G57" i="74"/>
  <c r="G56" i="74"/>
  <c r="G55" i="74"/>
  <c r="G49" i="74"/>
  <c r="G48" i="74"/>
  <c r="G45" i="74"/>
  <c r="G44" i="74"/>
  <c r="G40" i="74"/>
  <c r="G34" i="74"/>
  <c r="G33" i="74"/>
  <c r="G30" i="74"/>
  <c r="D27" i="74"/>
  <c r="G24" i="74"/>
  <c r="F21" i="74"/>
  <c r="F27" i="74" s="1"/>
  <c r="E21" i="74"/>
  <c r="E27" i="74" s="1"/>
  <c r="G19" i="74"/>
  <c r="G15" i="74"/>
  <c r="G14" i="74"/>
  <c r="G13" i="74"/>
  <c r="G12" i="74"/>
  <c r="G8" i="74"/>
  <c r="G7" i="74"/>
  <c r="G6" i="74"/>
  <c r="F184" i="72"/>
  <c r="F184" i="73"/>
  <c r="F183" i="73"/>
  <c r="F183" i="72"/>
  <c r="F103" i="73"/>
  <c r="F102" i="73"/>
  <c r="E188" i="73"/>
  <c r="E176" i="73"/>
  <c r="E172" i="73"/>
  <c r="E168" i="73"/>
  <c r="E163" i="73"/>
  <c r="E151" i="73"/>
  <c r="E134" i="73"/>
  <c r="D35" i="73"/>
  <c r="D8" i="73"/>
  <c r="C184" i="74" l="1"/>
  <c r="G21" i="75"/>
  <c r="G191" i="75"/>
  <c r="G192" i="75"/>
  <c r="G75" i="74"/>
  <c r="C21" i="74"/>
  <c r="C27" i="74" s="1"/>
  <c r="G27" i="74" s="1"/>
  <c r="G16" i="74"/>
  <c r="C192" i="74"/>
  <c r="D192" i="74"/>
  <c r="G159" i="74"/>
  <c r="D191" i="74"/>
  <c r="G191" i="74" s="1"/>
  <c r="G103" i="74"/>
  <c r="G102" i="74"/>
  <c r="G73" i="74"/>
  <c r="G74" i="74"/>
  <c r="G76" i="74"/>
  <c r="G77" i="74"/>
  <c r="G184" i="74"/>
  <c r="G183" i="74"/>
  <c r="G21" i="74"/>
  <c r="C188" i="73"/>
  <c r="C180" i="73"/>
  <c r="C176" i="73"/>
  <c r="C184" i="73" s="1"/>
  <c r="C172" i="73"/>
  <c r="G172" i="73" s="1"/>
  <c r="C168" i="73"/>
  <c r="C163" i="73"/>
  <c r="C77" i="73"/>
  <c r="C76" i="73"/>
  <c r="C74" i="73"/>
  <c r="C73" i="73"/>
  <c r="C49" i="73"/>
  <c r="C45" i="73"/>
  <c r="G45" i="73" s="1"/>
  <c r="C41" i="73"/>
  <c r="G188" i="73"/>
  <c r="G187" i="73"/>
  <c r="D184" i="73"/>
  <c r="E183" i="73"/>
  <c r="E191" i="73" s="1"/>
  <c r="D183" i="73"/>
  <c r="C183" i="73"/>
  <c r="G180" i="73"/>
  <c r="G179" i="73"/>
  <c r="E184" i="73"/>
  <c r="E192" i="73" s="1"/>
  <c r="G176" i="73"/>
  <c r="G175" i="73"/>
  <c r="G171" i="73"/>
  <c r="G168" i="73"/>
  <c r="G167" i="73"/>
  <c r="G163" i="73"/>
  <c r="G162" i="73"/>
  <c r="F159" i="73"/>
  <c r="D159" i="73"/>
  <c r="F158" i="73"/>
  <c r="D158" i="73"/>
  <c r="G155" i="73"/>
  <c r="G154" i="73"/>
  <c r="G151" i="73"/>
  <c r="G150" i="73"/>
  <c r="G147" i="73"/>
  <c r="G146" i="73"/>
  <c r="G139" i="73"/>
  <c r="G138" i="73"/>
  <c r="G134" i="73"/>
  <c r="G131" i="73"/>
  <c r="G130" i="73"/>
  <c r="G127" i="73"/>
  <c r="G125" i="73"/>
  <c r="G122" i="73"/>
  <c r="G121" i="73"/>
  <c r="G120" i="73"/>
  <c r="G118" i="73"/>
  <c r="G117" i="73"/>
  <c r="G116" i="73"/>
  <c r="G113" i="73"/>
  <c r="G112" i="73"/>
  <c r="G111" i="73"/>
  <c r="G109" i="73"/>
  <c r="G108" i="73"/>
  <c r="G107" i="73"/>
  <c r="E103" i="73"/>
  <c r="D103" i="73"/>
  <c r="C103" i="73"/>
  <c r="E102" i="73"/>
  <c r="D102" i="73"/>
  <c r="C102" i="73"/>
  <c r="G101" i="73"/>
  <c r="G100" i="73"/>
  <c r="G99" i="73"/>
  <c r="G97" i="73"/>
  <c r="G96" i="73"/>
  <c r="G95" i="73"/>
  <c r="G94" i="73"/>
  <c r="G93" i="73"/>
  <c r="G91" i="73"/>
  <c r="G90" i="73"/>
  <c r="G89" i="73"/>
  <c r="G88" i="73"/>
  <c r="G87" i="73"/>
  <c r="G85" i="73"/>
  <c r="G84" i="73"/>
  <c r="G83" i="73"/>
  <c r="G82" i="73"/>
  <c r="G81" i="73"/>
  <c r="F77" i="73"/>
  <c r="E77" i="73"/>
  <c r="D77" i="73"/>
  <c r="F76" i="73"/>
  <c r="E76" i="73"/>
  <c r="D76" i="73"/>
  <c r="F75" i="73"/>
  <c r="D75" i="73"/>
  <c r="G75" i="73" s="1"/>
  <c r="F74" i="73"/>
  <c r="E74" i="73"/>
  <c r="D74" i="73"/>
  <c r="F73" i="73"/>
  <c r="E73" i="73"/>
  <c r="D73" i="73"/>
  <c r="G71" i="73"/>
  <c r="G70" i="73"/>
  <c r="G69" i="73"/>
  <c r="G68" i="73"/>
  <c r="G67" i="73"/>
  <c r="G65" i="73"/>
  <c r="G64" i="73"/>
  <c r="G61" i="73"/>
  <c r="G59" i="73"/>
  <c r="G58" i="73"/>
  <c r="G57" i="73"/>
  <c r="G56" i="73"/>
  <c r="G55" i="73"/>
  <c r="G49" i="73"/>
  <c r="G48" i="73"/>
  <c r="G44" i="73"/>
  <c r="G41" i="73"/>
  <c r="G40" i="73"/>
  <c r="G35" i="73"/>
  <c r="G34" i="73"/>
  <c r="G33" i="73"/>
  <c r="G30" i="73"/>
  <c r="D27" i="73"/>
  <c r="G24" i="73"/>
  <c r="F21" i="73"/>
  <c r="F27" i="73" s="1"/>
  <c r="G19" i="73"/>
  <c r="G15" i="73"/>
  <c r="G14" i="73"/>
  <c r="G13" i="73"/>
  <c r="G12" i="73"/>
  <c r="G8" i="73"/>
  <c r="G7" i="73"/>
  <c r="G6" i="73"/>
  <c r="E188" i="72"/>
  <c r="E176" i="72"/>
  <c r="E172" i="72"/>
  <c r="E168" i="72"/>
  <c r="E163" i="72"/>
  <c r="E134" i="72"/>
  <c r="E35" i="72"/>
  <c r="E21" i="72"/>
  <c r="E14" i="72"/>
  <c r="E16" i="72" s="1"/>
  <c r="E8" i="72"/>
  <c r="D8" i="72"/>
  <c r="G192" i="74" l="1"/>
  <c r="F192" i="73"/>
  <c r="G159" i="73"/>
  <c r="G103" i="73"/>
  <c r="G77" i="73"/>
  <c r="G16" i="73"/>
  <c r="C21" i="73"/>
  <c r="C27" i="73" s="1"/>
  <c r="G183" i="73"/>
  <c r="C192" i="73"/>
  <c r="C191" i="73"/>
  <c r="G158" i="73"/>
  <c r="F191" i="73"/>
  <c r="D191" i="73"/>
  <c r="D192" i="73"/>
  <c r="G102" i="73"/>
  <c r="G76" i="73"/>
  <c r="G74" i="73"/>
  <c r="G73" i="73"/>
  <c r="G184" i="73"/>
  <c r="E21" i="73"/>
  <c r="E27" i="73" s="1"/>
  <c r="C188" i="72"/>
  <c r="C180" i="72"/>
  <c r="C176" i="72"/>
  <c r="C184" i="72" s="1"/>
  <c r="C172" i="72"/>
  <c r="G172" i="72" s="1"/>
  <c r="C168" i="72"/>
  <c r="C163" i="72"/>
  <c r="C49" i="72"/>
  <c r="C45" i="72"/>
  <c r="G45" i="72" s="1"/>
  <c r="C41" i="72"/>
  <c r="C35" i="72"/>
  <c r="G35" i="72" s="1"/>
  <c r="C21" i="72"/>
  <c r="G16" i="72"/>
  <c r="G187" i="72"/>
  <c r="D184" i="72"/>
  <c r="E183" i="72"/>
  <c r="E191" i="72" s="1"/>
  <c r="D183" i="72"/>
  <c r="C183" i="72"/>
  <c r="G180" i="72"/>
  <c r="G179" i="72"/>
  <c r="E184" i="72"/>
  <c r="G175" i="72"/>
  <c r="G171" i="72"/>
  <c r="G168" i="72"/>
  <c r="G167" i="72"/>
  <c r="G163" i="72"/>
  <c r="G162" i="72"/>
  <c r="F159" i="72"/>
  <c r="D159" i="72"/>
  <c r="F158" i="72"/>
  <c r="D158" i="72"/>
  <c r="G155" i="72"/>
  <c r="G154" i="72"/>
  <c r="E151" i="72"/>
  <c r="G151" i="72" s="1"/>
  <c r="G150" i="72"/>
  <c r="G147" i="72"/>
  <c r="G146" i="72"/>
  <c r="G139" i="72"/>
  <c r="G138" i="72"/>
  <c r="G134" i="72"/>
  <c r="G131" i="72"/>
  <c r="G130" i="72"/>
  <c r="G127" i="72"/>
  <c r="G125" i="72"/>
  <c r="G122" i="72"/>
  <c r="G121" i="72"/>
  <c r="G120" i="72"/>
  <c r="G118" i="72"/>
  <c r="G117" i="72"/>
  <c r="G116" i="72"/>
  <c r="G113" i="72"/>
  <c r="G112" i="72"/>
  <c r="G111" i="72"/>
  <c r="G109" i="72"/>
  <c r="G108" i="72"/>
  <c r="G107" i="72"/>
  <c r="E103" i="72"/>
  <c r="D103" i="72"/>
  <c r="C103" i="72"/>
  <c r="E102" i="72"/>
  <c r="D102" i="72"/>
  <c r="C102" i="72"/>
  <c r="G101" i="72"/>
  <c r="G100" i="72"/>
  <c r="G99" i="72"/>
  <c r="G97" i="72"/>
  <c r="G96" i="72"/>
  <c r="G95" i="72"/>
  <c r="G94" i="72"/>
  <c r="G93" i="72"/>
  <c r="G91" i="72"/>
  <c r="G90" i="72"/>
  <c r="G89" i="72"/>
  <c r="G88" i="72"/>
  <c r="G87" i="72"/>
  <c r="G85" i="72"/>
  <c r="G84" i="72"/>
  <c r="G83" i="72"/>
  <c r="G82" i="72"/>
  <c r="G81" i="72"/>
  <c r="F77" i="72"/>
  <c r="E77" i="72"/>
  <c r="D77" i="72"/>
  <c r="F76" i="72"/>
  <c r="E76" i="72"/>
  <c r="D76" i="72"/>
  <c r="F75" i="72"/>
  <c r="D75" i="72"/>
  <c r="F74" i="72"/>
  <c r="E74" i="72"/>
  <c r="D74" i="72"/>
  <c r="F73" i="72"/>
  <c r="E73" i="72"/>
  <c r="D73" i="72"/>
  <c r="G71" i="72"/>
  <c r="G70" i="72"/>
  <c r="G69" i="72"/>
  <c r="G68" i="72"/>
  <c r="G67" i="72"/>
  <c r="G65" i="72"/>
  <c r="G64" i="72"/>
  <c r="G61" i="72"/>
  <c r="G59" i="72"/>
  <c r="G58" i="72"/>
  <c r="G57" i="72"/>
  <c r="G56" i="72"/>
  <c r="G55" i="72"/>
  <c r="G49" i="72"/>
  <c r="G48" i="72"/>
  <c r="G44" i="72"/>
  <c r="G41" i="72"/>
  <c r="G40" i="72"/>
  <c r="G34" i="72"/>
  <c r="G33" i="72"/>
  <c r="G30" i="72"/>
  <c r="E27" i="72"/>
  <c r="D27" i="72"/>
  <c r="C27" i="72"/>
  <c r="G24" i="72"/>
  <c r="F21" i="72"/>
  <c r="G19" i="72"/>
  <c r="G15" i="72"/>
  <c r="G14" i="72"/>
  <c r="G13" i="72"/>
  <c r="G12" i="72"/>
  <c r="G8" i="72"/>
  <c r="G7" i="72"/>
  <c r="G6" i="72"/>
  <c r="G127" i="68"/>
  <c r="G127" i="69"/>
  <c r="G127" i="70"/>
  <c r="G127" i="71"/>
  <c r="F183" i="71"/>
  <c r="F183" i="70"/>
  <c r="G192" i="73" l="1"/>
  <c r="G27" i="73"/>
  <c r="G191" i="73"/>
  <c r="G21" i="73"/>
  <c r="G21" i="72"/>
  <c r="F191" i="72"/>
  <c r="G158" i="72"/>
  <c r="G75" i="72"/>
  <c r="G159" i="72"/>
  <c r="D192" i="72"/>
  <c r="G184" i="72"/>
  <c r="G183" i="72"/>
  <c r="C191" i="72"/>
  <c r="D191" i="72"/>
  <c r="F192" i="72"/>
  <c r="G103" i="72"/>
  <c r="G102" i="72"/>
  <c r="G76" i="72"/>
  <c r="G77" i="72"/>
  <c r="G73" i="72"/>
  <c r="G74" i="72"/>
  <c r="F27" i="72"/>
  <c r="G27" i="72" s="1"/>
  <c r="C192" i="72"/>
  <c r="E192" i="72"/>
  <c r="G176" i="72"/>
  <c r="G188" i="72"/>
  <c r="F21" i="71"/>
  <c r="C188" i="71"/>
  <c r="C168" i="71"/>
  <c r="C163" i="71"/>
  <c r="C49" i="71"/>
  <c r="C45" i="71"/>
  <c r="C41" i="71"/>
  <c r="G191" i="72" l="1"/>
  <c r="G192" i="72"/>
  <c r="E188" i="71"/>
  <c r="E176" i="71"/>
  <c r="E184" i="71" s="1"/>
  <c r="E172" i="71"/>
  <c r="E168" i="71"/>
  <c r="E163" i="71"/>
  <c r="E151" i="71"/>
  <c r="E134" i="71"/>
  <c r="G188" i="71"/>
  <c r="G187" i="71"/>
  <c r="F184" i="71"/>
  <c r="D184" i="71"/>
  <c r="E183" i="71"/>
  <c r="D183" i="71"/>
  <c r="C183" i="71"/>
  <c r="C191" i="71" s="1"/>
  <c r="G180" i="71"/>
  <c r="C184" i="71"/>
  <c r="G179" i="71"/>
  <c r="G175" i="71"/>
  <c r="G172" i="71"/>
  <c r="G171" i="71"/>
  <c r="G168" i="71"/>
  <c r="G167" i="71"/>
  <c r="G163" i="71"/>
  <c r="G162" i="71"/>
  <c r="F159" i="71"/>
  <c r="D159" i="71"/>
  <c r="F158" i="71"/>
  <c r="D158" i="71"/>
  <c r="G155" i="71"/>
  <c r="G154" i="71"/>
  <c r="G150" i="71"/>
  <c r="G147" i="71"/>
  <c r="G146" i="71"/>
  <c r="G139" i="71"/>
  <c r="G138" i="71"/>
  <c r="G134" i="71"/>
  <c r="G131" i="71"/>
  <c r="G130" i="71"/>
  <c r="G125" i="71"/>
  <c r="G122" i="71"/>
  <c r="G121" i="71"/>
  <c r="G120" i="71"/>
  <c r="G118" i="71"/>
  <c r="G117" i="71"/>
  <c r="G116" i="71"/>
  <c r="G113" i="71"/>
  <c r="G112" i="71"/>
  <c r="G111" i="71"/>
  <c r="G109" i="71"/>
  <c r="G108" i="71"/>
  <c r="G107" i="71"/>
  <c r="E103" i="71"/>
  <c r="D103" i="71"/>
  <c r="C103" i="71"/>
  <c r="E102" i="71"/>
  <c r="D102" i="71"/>
  <c r="C102" i="71"/>
  <c r="G101" i="71"/>
  <c r="G100" i="71"/>
  <c r="G99" i="71"/>
  <c r="G97" i="71"/>
  <c r="G96" i="71"/>
  <c r="G95" i="71"/>
  <c r="G94" i="71"/>
  <c r="G93" i="71"/>
  <c r="G91" i="71"/>
  <c r="G90" i="71"/>
  <c r="G89" i="71"/>
  <c r="G88" i="71"/>
  <c r="G87" i="71"/>
  <c r="G85" i="71"/>
  <c r="G84" i="71"/>
  <c r="G83" i="71"/>
  <c r="G82" i="71"/>
  <c r="G81" i="71"/>
  <c r="F77" i="71"/>
  <c r="E77" i="71"/>
  <c r="D77" i="71"/>
  <c r="C77" i="71"/>
  <c r="F76" i="71"/>
  <c r="E76" i="71"/>
  <c r="D76" i="71"/>
  <c r="C76" i="71"/>
  <c r="F75" i="71"/>
  <c r="D75" i="71"/>
  <c r="F74" i="71"/>
  <c r="E74" i="71"/>
  <c r="D74" i="71"/>
  <c r="C74" i="71"/>
  <c r="F73" i="71"/>
  <c r="E73" i="71"/>
  <c r="D73" i="71"/>
  <c r="C73" i="71"/>
  <c r="G71" i="71"/>
  <c r="G70" i="71"/>
  <c r="G69" i="71"/>
  <c r="G68" i="71"/>
  <c r="G67" i="71"/>
  <c r="G65" i="71"/>
  <c r="G64" i="71"/>
  <c r="G61" i="71"/>
  <c r="G59" i="71"/>
  <c r="G58" i="71"/>
  <c r="G57" i="71"/>
  <c r="G56" i="71"/>
  <c r="G55" i="71"/>
  <c r="G49" i="71"/>
  <c r="G48" i="71"/>
  <c r="G45" i="71"/>
  <c r="G44" i="71"/>
  <c r="G41" i="71"/>
  <c r="G40" i="71"/>
  <c r="G35" i="71"/>
  <c r="G34" i="71"/>
  <c r="G33" i="71"/>
  <c r="G30" i="71"/>
  <c r="D27" i="71"/>
  <c r="G24" i="71"/>
  <c r="F27" i="71"/>
  <c r="C27" i="71"/>
  <c r="G19" i="71"/>
  <c r="G15" i="71"/>
  <c r="G14" i="71"/>
  <c r="G13" i="71"/>
  <c r="G12" i="71"/>
  <c r="G8" i="71"/>
  <c r="G7" i="71"/>
  <c r="G6" i="71"/>
  <c r="C188" i="70"/>
  <c r="C180" i="70"/>
  <c r="C176" i="70"/>
  <c r="C172" i="70"/>
  <c r="C168" i="70"/>
  <c r="C163" i="70"/>
  <c r="C49" i="70"/>
  <c r="C45" i="70"/>
  <c r="C41" i="70"/>
  <c r="C35" i="70"/>
  <c r="C21" i="70"/>
  <c r="F184" i="70"/>
  <c r="F184" i="69"/>
  <c r="F183" i="69"/>
  <c r="D16" i="70"/>
  <c r="F188" i="70"/>
  <c r="F187" i="70"/>
  <c r="F77" i="70"/>
  <c r="F76" i="70"/>
  <c r="F75" i="70"/>
  <c r="F74" i="70"/>
  <c r="F73" i="70"/>
  <c r="F21" i="70"/>
  <c r="C77" i="70"/>
  <c r="C76" i="70"/>
  <c r="C74" i="70"/>
  <c r="C73" i="70"/>
  <c r="D184" i="70"/>
  <c r="D183" i="70"/>
  <c r="D159" i="70"/>
  <c r="D158" i="70"/>
  <c r="D103" i="70"/>
  <c r="D102" i="70"/>
  <c r="D77" i="70"/>
  <c r="D76" i="70"/>
  <c r="D75" i="70"/>
  <c r="D74" i="70"/>
  <c r="D73" i="70"/>
  <c r="D35" i="70"/>
  <c r="D8" i="70"/>
  <c r="D191" i="70" l="1"/>
  <c r="G176" i="71"/>
  <c r="F192" i="71"/>
  <c r="D191" i="71"/>
  <c r="G102" i="71"/>
  <c r="G159" i="71"/>
  <c r="F191" i="71"/>
  <c r="C192" i="71"/>
  <c r="G184" i="71"/>
  <c r="E192" i="71"/>
  <c r="E191" i="71"/>
  <c r="G158" i="71"/>
  <c r="D192" i="71"/>
  <c r="G103" i="71"/>
  <c r="G77" i="71"/>
  <c r="G76" i="71"/>
  <c r="G73" i="71"/>
  <c r="G74" i="71"/>
  <c r="G75" i="71"/>
  <c r="G151" i="71"/>
  <c r="G183" i="71"/>
  <c r="D192" i="70"/>
  <c r="E188" i="70"/>
  <c r="G188" i="70" s="1"/>
  <c r="E183" i="70"/>
  <c r="E176" i="70"/>
  <c r="E172" i="70"/>
  <c r="E168" i="70"/>
  <c r="G168" i="70" s="1"/>
  <c r="E163" i="70"/>
  <c r="E158" i="70"/>
  <c r="E151" i="70"/>
  <c r="E159" i="70" s="1"/>
  <c r="E134" i="70"/>
  <c r="E77" i="70"/>
  <c r="E76" i="70"/>
  <c r="E74" i="70"/>
  <c r="G74" i="70" s="1"/>
  <c r="E73" i="70"/>
  <c r="G73" i="70" s="1"/>
  <c r="E35" i="70"/>
  <c r="G35" i="70" s="1"/>
  <c r="E14" i="70"/>
  <c r="E16" i="70" s="1"/>
  <c r="E21" i="70" s="1"/>
  <c r="E8" i="70"/>
  <c r="G187" i="70"/>
  <c r="C183" i="70"/>
  <c r="C184" i="70"/>
  <c r="G179" i="70"/>
  <c r="G176" i="70"/>
  <c r="G175" i="70"/>
  <c r="G172" i="70"/>
  <c r="G171" i="70"/>
  <c r="G167" i="70"/>
  <c r="G163" i="70"/>
  <c r="G162" i="70"/>
  <c r="F159" i="70"/>
  <c r="F158" i="70"/>
  <c r="G158" i="70"/>
  <c r="G155" i="70"/>
  <c r="G154" i="70"/>
  <c r="G150" i="70"/>
  <c r="G147" i="70"/>
  <c r="G146" i="70"/>
  <c r="G139" i="70"/>
  <c r="G138" i="70"/>
  <c r="G134" i="70"/>
  <c r="G131" i="70"/>
  <c r="G130" i="70"/>
  <c r="G125" i="70"/>
  <c r="G122" i="70"/>
  <c r="G121" i="70"/>
  <c r="G120" i="70"/>
  <c r="G118" i="70"/>
  <c r="G117" i="70"/>
  <c r="G116" i="70"/>
  <c r="G113" i="70"/>
  <c r="G112" i="70"/>
  <c r="G111" i="70"/>
  <c r="G109" i="70"/>
  <c r="G108" i="70"/>
  <c r="G107" i="70"/>
  <c r="E103" i="70"/>
  <c r="C103" i="70"/>
  <c r="E102" i="70"/>
  <c r="C102" i="70"/>
  <c r="G101" i="70"/>
  <c r="G100" i="70"/>
  <c r="G99" i="70"/>
  <c r="G97" i="70"/>
  <c r="G96" i="70"/>
  <c r="G95" i="70"/>
  <c r="G94" i="70"/>
  <c r="G93" i="70"/>
  <c r="G91" i="70"/>
  <c r="G90" i="70"/>
  <c r="G89" i="70"/>
  <c r="G88" i="70"/>
  <c r="G87" i="70"/>
  <c r="G85" i="70"/>
  <c r="G84" i="70"/>
  <c r="G83" i="70"/>
  <c r="G82" i="70"/>
  <c r="G81" i="70"/>
  <c r="G77" i="70"/>
  <c r="G75" i="70"/>
  <c r="G71" i="70"/>
  <c r="G70" i="70"/>
  <c r="G69" i="70"/>
  <c r="G68" i="70"/>
  <c r="G67" i="70"/>
  <c r="G65" i="70"/>
  <c r="G64" i="70"/>
  <c r="G61" i="70"/>
  <c r="G59" i="70"/>
  <c r="G58" i="70"/>
  <c r="G57" i="70"/>
  <c r="G56" i="70"/>
  <c r="G55" i="70"/>
  <c r="G49" i="70"/>
  <c r="G48" i="70"/>
  <c r="G45" i="70"/>
  <c r="G44" i="70"/>
  <c r="G41" i="70"/>
  <c r="G40" i="70"/>
  <c r="G34" i="70"/>
  <c r="G33" i="70"/>
  <c r="G30" i="70"/>
  <c r="D27" i="70"/>
  <c r="C27" i="70"/>
  <c r="G24" i="70"/>
  <c r="F27" i="70"/>
  <c r="G19" i="70"/>
  <c r="G15" i="70"/>
  <c r="G14" i="70"/>
  <c r="G13" i="70"/>
  <c r="G12" i="70"/>
  <c r="G8" i="70"/>
  <c r="G7" i="70"/>
  <c r="G6" i="70"/>
  <c r="G24" i="69"/>
  <c r="G24" i="68"/>
  <c r="F188" i="69"/>
  <c r="F187" i="69"/>
  <c r="C188" i="69"/>
  <c r="C180" i="69"/>
  <c r="C176" i="69"/>
  <c r="C172" i="69"/>
  <c r="C168" i="69"/>
  <c r="C163" i="69"/>
  <c r="C77" i="69"/>
  <c r="C76" i="69"/>
  <c r="C74" i="69"/>
  <c r="C73" i="69"/>
  <c r="C49" i="69"/>
  <c r="C45" i="69"/>
  <c r="C41" i="69"/>
  <c r="C35" i="69"/>
  <c r="D103" i="69"/>
  <c r="D102" i="69"/>
  <c r="D77" i="69"/>
  <c r="D76" i="69"/>
  <c r="D75" i="69"/>
  <c r="D74" i="69"/>
  <c r="D73" i="69"/>
  <c r="D35" i="69"/>
  <c r="D27" i="69"/>
  <c r="D8" i="69"/>
  <c r="G151" i="70" l="1"/>
  <c r="E184" i="70"/>
  <c r="G191" i="71"/>
  <c r="G192" i="71"/>
  <c r="G16" i="71"/>
  <c r="E27" i="71"/>
  <c r="G27" i="71" s="1"/>
  <c r="G21" i="71"/>
  <c r="E192" i="70"/>
  <c r="E191" i="70"/>
  <c r="G102" i="70"/>
  <c r="F192" i="70"/>
  <c r="G103" i="70"/>
  <c r="F191" i="70"/>
  <c r="G183" i="70"/>
  <c r="C191" i="70"/>
  <c r="G159" i="70"/>
  <c r="G76" i="70"/>
  <c r="G16" i="70"/>
  <c r="G184" i="70"/>
  <c r="C192" i="70"/>
  <c r="G180" i="70"/>
  <c r="E188" i="69"/>
  <c r="E183" i="69"/>
  <c r="E176" i="69"/>
  <c r="G176" i="69" s="1"/>
  <c r="E172" i="69"/>
  <c r="G172" i="69" s="1"/>
  <c r="E168" i="69"/>
  <c r="E163" i="69"/>
  <c r="G163" i="69" s="1"/>
  <c r="E159" i="69"/>
  <c r="E158" i="69"/>
  <c r="E151" i="69"/>
  <c r="E134" i="69"/>
  <c r="G134" i="69" s="1"/>
  <c r="G74" i="69"/>
  <c r="G73" i="69"/>
  <c r="E35" i="69"/>
  <c r="G35" i="69" s="1"/>
  <c r="E14" i="69"/>
  <c r="E16" i="69" s="1"/>
  <c r="E21" i="69" s="1"/>
  <c r="E27" i="69" s="1"/>
  <c r="E8" i="69"/>
  <c r="G8" i="69" s="1"/>
  <c r="G187" i="69"/>
  <c r="C184" i="69"/>
  <c r="C192" i="69" s="1"/>
  <c r="C183" i="69"/>
  <c r="C191" i="69" s="1"/>
  <c r="G180" i="69"/>
  <c r="G179" i="69"/>
  <c r="G175" i="69"/>
  <c r="G171" i="69"/>
  <c r="G168" i="69"/>
  <c r="G167" i="69"/>
  <c r="G162" i="69"/>
  <c r="F159" i="69"/>
  <c r="F158" i="69"/>
  <c r="G155" i="69"/>
  <c r="G154" i="69"/>
  <c r="G151" i="69"/>
  <c r="G150" i="69"/>
  <c r="G147" i="69"/>
  <c r="G146" i="69"/>
  <c r="G139" i="69"/>
  <c r="G138" i="69"/>
  <c r="G131" i="69"/>
  <c r="G130" i="69"/>
  <c r="G125" i="69"/>
  <c r="G122" i="69"/>
  <c r="G121" i="69"/>
  <c r="G120" i="69"/>
  <c r="G118" i="69"/>
  <c r="G117" i="69"/>
  <c r="G116" i="69"/>
  <c r="G113" i="69"/>
  <c r="G112" i="69"/>
  <c r="G111" i="69"/>
  <c r="G109" i="69"/>
  <c r="G108" i="69"/>
  <c r="G107" i="69"/>
  <c r="E103" i="69"/>
  <c r="C103" i="69"/>
  <c r="E102" i="69"/>
  <c r="C102" i="69"/>
  <c r="G101" i="69"/>
  <c r="G100" i="69"/>
  <c r="G99" i="69"/>
  <c r="G97" i="69"/>
  <c r="G96" i="69"/>
  <c r="G95" i="69"/>
  <c r="G94" i="69"/>
  <c r="G93" i="69"/>
  <c r="G91" i="69"/>
  <c r="G90" i="69"/>
  <c r="G89" i="69"/>
  <c r="G88" i="69"/>
  <c r="G87" i="69"/>
  <c r="G85" i="69"/>
  <c r="G84" i="69"/>
  <c r="G83" i="69"/>
  <c r="G82" i="69"/>
  <c r="G81" i="69"/>
  <c r="G77" i="69"/>
  <c r="G76" i="69"/>
  <c r="G75" i="69"/>
  <c r="G71" i="69"/>
  <c r="G70" i="69"/>
  <c r="G69" i="69"/>
  <c r="G68" i="69"/>
  <c r="G67" i="69"/>
  <c r="G65" i="69"/>
  <c r="G64" i="69"/>
  <c r="G61" i="69"/>
  <c r="G59" i="69"/>
  <c r="G58" i="69"/>
  <c r="G57" i="69"/>
  <c r="G56" i="69"/>
  <c r="G55" i="69"/>
  <c r="G49" i="69"/>
  <c r="G48" i="69"/>
  <c r="G45" i="69"/>
  <c r="G44" i="69"/>
  <c r="G41" i="69"/>
  <c r="G40" i="69"/>
  <c r="G34" i="69"/>
  <c r="G33" i="69"/>
  <c r="G30" i="69"/>
  <c r="F21" i="69"/>
  <c r="F27" i="69" s="1"/>
  <c r="G19" i="69"/>
  <c r="G15" i="69"/>
  <c r="G13" i="69"/>
  <c r="G12" i="69"/>
  <c r="G7" i="69"/>
  <c r="G6" i="69"/>
  <c r="C188" i="68"/>
  <c r="C180" i="68"/>
  <c r="C176" i="68"/>
  <c r="C172" i="68"/>
  <c r="C168" i="68"/>
  <c r="C163" i="68"/>
  <c r="C35" i="68"/>
  <c r="C14" i="68"/>
  <c r="C16" i="68" s="1"/>
  <c r="C21" i="68" s="1"/>
  <c r="C27" i="68" s="1"/>
  <c r="F184" i="68"/>
  <c r="F183" i="68"/>
  <c r="G191" i="70" l="1"/>
  <c r="G192" i="70"/>
  <c r="E27" i="70"/>
  <c r="G27" i="70" s="1"/>
  <c r="G21" i="70"/>
  <c r="G14" i="69"/>
  <c r="E184" i="69"/>
  <c r="E192" i="69" s="1"/>
  <c r="E191" i="69"/>
  <c r="G191" i="69" s="1"/>
  <c r="G102" i="69"/>
  <c r="F191" i="69"/>
  <c r="F192" i="69"/>
  <c r="G192" i="69" s="1"/>
  <c r="G184" i="69"/>
  <c r="G158" i="69"/>
  <c r="G103" i="69"/>
  <c r="G159" i="69"/>
  <c r="G188" i="69"/>
  <c r="G183" i="69"/>
  <c r="F159" i="68"/>
  <c r="F158" i="68"/>
  <c r="F21" i="68"/>
  <c r="C184" i="68"/>
  <c r="C192" i="68" s="1"/>
  <c r="C183" i="68"/>
  <c r="C191" i="68" s="1"/>
  <c r="C103" i="68"/>
  <c r="C102" i="68"/>
  <c r="C77" i="68"/>
  <c r="C76" i="68"/>
  <c r="C74" i="68"/>
  <c r="C73" i="68"/>
  <c r="C49" i="68"/>
  <c r="C45" i="68"/>
  <c r="C41" i="68"/>
  <c r="G16" i="69" l="1"/>
  <c r="E188" i="68"/>
  <c r="E176" i="68"/>
  <c r="E172" i="68"/>
  <c r="E168" i="68"/>
  <c r="E134" i="68"/>
  <c r="C27" i="69" l="1"/>
  <c r="G27" i="69" s="1"/>
  <c r="G21" i="69"/>
  <c r="F27" i="68"/>
  <c r="E27" i="68" l="1"/>
  <c r="F191" i="68" l="1"/>
  <c r="F192" i="68"/>
  <c r="E103" i="68" l="1"/>
  <c r="E102" i="68"/>
  <c r="G188" i="68" l="1"/>
  <c r="G187" i="68"/>
  <c r="G192" i="68"/>
  <c r="G184" i="68"/>
  <c r="G191" i="68"/>
  <c r="G183" i="68"/>
  <c r="G180" i="68"/>
  <c r="G179" i="68"/>
  <c r="G176" i="68"/>
  <c r="G175" i="68"/>
  <c r="G172" i="68"/>
  <c r="G171" i="68"/>
  <c r="G168" i="68"/>
  <c r="G167" i="68"/>
  <c r="G163" i="68"/>
  <c r="G162" i="68"/>
  <c r="G159" i="68"/>
  <c r="G158" i="68"/>
  <c r="G155" i="68"/>
  <c r="G154" i="68"/>
  <c r="G151" i="68"/>
  <c r="G150" i="68"/>
  <c r="G147" i="68"/>
  <c r="G146" i="68"/>
  <c r="G139" i="68"/>
  <c r="G138" i="68"/>
  <c r="G134" i="68"/>
  <c r="G131" i="68"/>
  <c r="G130" i="68"/>
  <c r="G125" i="68"/>
  <c r="G122" i="68"/>
  <c r="G121" i="68"/>
  <c r="G120" i="68"/>
  <c r="G118" i="68"/>
  <c r="G117" i="68"/>
  <c r="G116" i="68"/>
  <c r="G113" i="68"/>
  <c r="G112" i="68"/>
  <c r="G111" i="68"/>
  <c r="G109" i="68"/>
  <c r="G108" i="68"/>
  <c r="G107" i="68"/>
  <c r="G103" i="68"/>
  <c r="G102" i="68"/>
  <c r="G101" i="68"/>
  <c r="G100" i="68"/>
  <c r="G99" i="68"/>
  <c r="G97" i="68"/>
  <c r="G96" i="68"/>
  <c r="G95" i="68"/>
  <c r="G94" i="68"/>
  <c r="G93" i="68"/>
  <c r="G91" i="68"/>
  <c r="G90" i="68"/>
  <c r="G89" i="68"/>
  <c r="G88" i="68"/>
  <c r="G87" i="68"/>
  <c r="G85" i="68"/>
  <c r="G84" i="68"/>
  <c r="G83" i="68"/>
  <c r="G82" i="68"/>
  <c r="G81" i="68"/>
  <c r="G77" i="68"/>
  <c r="G76" i="68"/>
  <c r="G75" i="68"/>
  <c r="G74" i="68"/>
  <c r="G73" i="68"/>
  <c r="G71" i="68"/>
  <c r="G70" i="68"/>
  <c r="G69" i="68"/>
  <c r="G68" i="68"/>
  <c r="G67" i="68"/>
  <c r="G65" i="68"/>
  <c r="G64" i="68"/>
  <c r="G61" i="68"/>
  <c r="G59" i="68"/>
  <c r="G58" i="68"/>
  <c r="G57" i="68"/>
  <c r="G56" i="68"/>
  <c r="G55" i="68"/>
  <c r="G49" i="68"/>
  <c r="G48" i="68"/>
  <c r="G45" i="68"/>
  <c r="G44" i="68"/>
  <c r="G41" i="68"/>
  <c r="G40" i="68"/>
  <c r="G35" i="68"/>
  <c r="G34" i="68"/>
  <c r="G33" i="68"/>
  <c r="G30" i="68"/>
  <c r="G27" i="68"/>
  <c r="G21" i="68"/>
  <c r="G19" i="68"/>
  <c r="G16" i="68"/>
  <c r="G15" i="68"/>
  <c r="G14" i="68"/>
  <c r="G13" i="68"/>
  <c r="G12" i="68"/>
  <c r="G8" i="68"/>
  <c r="G7" i="68"/>
  <c r="G6" i="68"/>
</calcChain>
</file>

<file path=xl/sharedStrings.xml><?xml version="1.0" encoding="utf-8"?>
<sst xmlns="http://schemas.openxmlformats.org/spreadsheetml/2006/main" count="1956" uniqueCount="117">
  <si>
    <t xml:space="preserve"> </t>
  </si>
  <si>
    <t>CCAF</t>
  </si>
  <si>
    <t>Los Andes</t>
  </si>
  <si>
    <t>La Araucana</t>
  </si>
  <si>
    <t>Caja 18</t>
  </si>
  <si>
    <t>Los Héroes</t>
  </si>
  <si>
    <t>Total</t>
  </si>
  <si>
    <t>I. Información Poblacional</t>
  </si>
  <si>
    <t>Trabajadores Afiliados</t>
  </si>
  <si>
    <t xml:space="preserve">Trabajadores Dependientes </t>
  </si>
  <si>
    <t>N° Trabajadores Dependientes Privados Isapre</t>
  </si>
  <si>
    <t>N° Trabajadores Dependientes Privados Fonasa</t>
  </si>
  <si>
    <t>N° Trabajadores Dependientes Privados</t>
  </si>
  <si>
    <t>N° Trabajadores Dependientes Públicos</t>
  </si>
  <si>
    <t>N° Trabajadores Dependientes Total</t>
  </si>
  <si>
    <t xml:space="preserve">Trabajadores Independientes </t>
  </si>
  <si>
    <t xml:space="preserve">N° Trabajadores Independientes </t>
  </si>
  <si>
    <t>N° Trabajadores Afiliados Total</t>
  </si>
  <si>
    <t>Pensionados Afiliados</t>
  </si>
  <si>
    <t>N° Pensionados Afiliados</t>
  </si>
  <si>
    <t>Total Afiliados</t>
  </si>
  <si>
    <t>N° Total de Afiliados</t>
  </si>
  <si>
    <t>Cargas Familiares Vigentes</t>
  </si>
  <si>
    <t>N° Cargas Familiares Vigentes</t>
  </si>
  <si>
    <t>Remuneraciones de Afiliados</t>
  </si>
  <si>
    <t>Remuneración Total (imponible) trabajadores afiliados ($)</t>
  </si>
  <si>
    <t>Remuneración Total  (imponible) pensionados ($)</t>
  </si>
  <si>
    <t>Total Remuneraciones afiliados ($)</t>
  </si>
  <si>
    <t>II. Información Prestaciones Legales</t>
  </si>
  <si>
    <t>Asignaciones Familiares</t>
  </si>
  <si>
    <t>N° Asignaciones Familiares Pagadas</t>
  </si>
  <si>
    <t>Monto (MM$) Asignaciones Familiares Pagadas</t>
  </si>
  <si>
    <t>Subsidio de Cesantía</t>
  </si>
  <si>
    <t>N° Subsidio de Cesantía Pagadas</t>
  </si>
  <si>
    <t>Monto Subsidio de Cesantía Pagadas (MM$)</t>
  </si>
  <si>
    <t>Subsidio de Incapacidad Laboral</t>
  </si>
  <si>
    <t>N° Subsidio de Incapacidad Laboral</t>
  </si>
  <si>
    <t>Monto de Subsidio de Incapacidad Laboral (MM$)</t>
  </si>
  <si>
    <t>III. Información Productos y Servicios</t>
  </si>
  <si>
    <t>Crédito Social (No Incluye Crédito Hipotecario)</t>
  </si>
  <si>
    <t>Trabajadores Dependientes</t>
  </si>
  <si>
    <t xml:space="preserve">N° Colocaciones del mes </t>
  </si>
  <si>
    <t>Monto de Colocaciones del mes (MM$)</t>
  </si>
  <si>
    <t xml:space="preserve">N° Cuotas promedio de colocaciones del mes </t>
  </si>
  <si>
    <t>N° Créditos Cartera Vigente</t>
  </si>
  <si>
    <t>Trabajadores Independientes</t>
  </si>
  <si>
    <t>Pensionados</t>
  </si>
  <si>
    <t>Total Crédito Social</t>
  </si>
  <si>
    <t>Crédito Hipotecario</t>
  </si>
  <si>
    <t>Total Crédito Hipotecario</t>
  </si>
  <si>
    <t>Tasa de Interés Colocación Crédito Social</t>
  </si>
  <si>
    <t>Trabajadores (Para monto menor o igual a 200 UF)</t>
  </si>
  <si>
    <t>Plazo 24 meses (%)</t>
  </si>
  <si>
    <t>Plazo 36 meses (%)</t>
  </si>
  <si>
    <t>Plazo 60 meses (%)</t>
  </si>
  <si>
    <t>Trabajadores (Para monto mayor a 200 UF y menor a 5000 UF)</t>
  </si>
  <si>
    <t>Pensionados (Para monto menor o igual a 200 UF)</t>
  </si>
  <si>
    <t>Pensionados (Para monto mayor a 200 UF y menor a 5000 UF)</t>
  </si>
  <si>
    <t>Tasa de Interés Promedio Colocación Crédito Hipotecario al último día del mes (%)</t>
  </si>
  <si>
    <t>anualizada (%)</t>
  </si>
  <si>
    <t>Tasa de Interés Promedio Cartera Vigente (%) (No incluye crédito hipotecario)</t>
  </si>
  <si>
    <t>mensual (%)</t>
  </si>
  <si>
    <t>Ahorro</t>
  </si>
  <si>
    <t>N° Cuentas de Ahorro Vigentes</t>
  </si>
  <si>
    <t>Saldo Acumulado de Cuentas de Ahorro Vigentes (MM$)</t>
  </si>
  <si>
    <t>Seguros</t>
  </si>
  <si>
    <t>N° de Seguros Vigentes</t>
  </si>
  <si>
    <t>IV. Información Servicios a Terceros</t>
  </si>
  <si>
    <t>Recaudación de Cotizaciones</t>
  </si>
  <si>
    <t>N° de planillas recaudadas electrónicamente</t>
  </si>
  <si>
    <t>N° de planillas recaudadas manualmente</t>
  </si>
  <si>
    <t>V. Información Beneficios No Retornables</t>
  </si>
  <si>
    <t>Educación</t>
  </si>
  <si>
    <t>Asignaciones Matrícula</t>
  </si>
  <si>
    <t>N° Asignaciones Pagadas</t>
  </si>
  <si>
    <t>Monto Asignaciones Pagadas (MM$)</t>
  </si>
  <si>
    <t>Becas de Estudios</t>
  </si>
  <si>
    <t>N° Becas Pagadas</t>
  </si>
  <si>
    <t>Monto Becas Pagadas (MM$)</t>
  </si>
  <si>
    <t>Otros Beneficios Educacionales</t>
  </si>
  <si>
    <t>N° Beneficios Pagados</t>
  </si>
  <si>
    <t>Monto Beneficios Pagados (MM$)</t>
  </si>
  <si>
    <t>Total Beneficios Educacionales</t>
  </si>
  <si>
    <t>N° Beneficios Pagados Total</t>
  </si>
  <si>
    <t>Monto de Beneficios Pagados Total (MM$)</t>
  </si>
  <si>
    <t>Salud</t>
  </si>
  <si>
    <t>Contingencias</t>
  </si>
  <si>
    <t>Nupcialidad</t>
  </si>
  <si>
    <t>N° de asignaciones Pagadas</t>
  </si>
  <si>
    <t>Monto de asignaciones pagadas (MM$)</t>
  </si>
  <si>
    <t>Natalidad</t>
  </si>
  <si>
    <t>N° de asignaciones pagadas</t>
  </si>
  <si>
    <t>Fallecimiento</t>
  </si>
  <si>
    <t>Otras asignaciones de contingencias</t>
  </si>
  <si>
    <t xml:space="preserve">Total asignaciones de contingencias </t>
  </si>
  <si>
    <t>N° asignaciones de contingencias pagadas</t>
  </si>
  <si>
    <t>Monto de asignaciones de contingencias pagadas (MM$)</t>
  </si>
  <si>
    <t>Otros beneficios no retornables</t>
  </si>
  <si>
    <t>N° de otros beneficios pagados</t>
  </si>
  <si>
    <t>Monto de otros beneficios pagados (MM$)</t>
  </si>
  <si>
    <t>Total Beneficios No Retornables</t>
  </si>
  <si>
    <t>N° total de beneficios pagados</t>
  </si>
  <si>
    <t>Monto total de beneficios pagados (MM$)</t>
  </si>
  <si>
    <t>Entidades Empleadoras Afiliadas</t>
  </si>
  <si>
    <t>N° Entidades Empleadoras Privadas</t>
  </si>
  <si>
    <t>N° Entidades Empleadoras Públicas</t>
  </si>
  <si>
    <t>Total Entidades Empleadoras Afiliadas</t>
  </si>
  <si>
    <t>Remuneraciones de Afiliados (*)</t>
  </si>
  <si>
    <t>(*) Se Considera Remuneración Hasta el Maximo Imponible</t>
  </si>
  <si>
    <t>Subsidios de Cesantía</t>
  </si>
  <si>
    <t>Subsidios de Incapacidad Laboral</t>
  </si>
  <si>
    <t>N° Subsidios de Cesantía Pagadas</t>
  </si>
  <si>
    <t>Monto Subsidios de Cesantía Pagadas (MM$)</t>
  </si>
  <si>
    <t>N° Subsidios de Incapacidad Laboral</t>
  </si>
  <si>
    <t>Monto de Subsidios de Incapacidad Laboral (MM$)</t>
  </si>
  <si>
    <t>Monto de Créditos Cartera Vigente (MM$)</t>
  </si>
  <si>
    <t>N° Colocaciones del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</si>
</sst>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0.0"/>
    <numFmt numFmtId="168" formatCode="#,##0.0"/>
    <numFmt numFmtId="169" formatCode="#,##0_ ;\-#,##0\ "/>
    <numFmt numFmtId="170" formatCode="#,##0.000_ ;\-#,##0.000\ 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</cellStyleXfs>
  <cellXfs count="91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6" fillId="3" borderId="2" xfId="0" applyFont="1" applyFill="1" applyBorder="1" applyAlignment="1">
      <alignment horizontal="center"/>
    </xf>
    <xf numFmtId="16" fontId="6" fillId="3" borderId="2" xfId="0" applyNumberFormat="1" applyFont="1" applyFill="1" applyBorder="1" applyAlignment="1">
      <alignment horizontal="center"/>
    </xf>
    <xf numFmtId="3" fontId="0" fillId="2" borderId="0" xfId="0" applyNumberFormat="1" applyFill="1"/>
    <xf numFmtId="1" fontId="0" fillId="2" borderId="0" xfId="0" applyNumberFormat="1" applyFill="1"/>
    <xf numFmtId="0" fontId="5" fillId="4" borderId="4" xfId="0" applyFont="1" applyFill="1" applyBorder="1"/>
    <xf numFmtId="0" fontId="5" fillId="4" borderId="5" xfId="0" applyFont="1" applyFill="1" applyBorder="1"/>
    <xf numFmtId="4" fontId="0" fillId="0" borderId="2" xfId="0" applyNumberFormat="1" applyBorder="1"/>
    <xf numFmtId="3" fontId="0" fillId="2" borderId="2" xfId="0" applyNumberFormat="1" applyFill="1" applyBorder="1"/>
    <xf numFmtId="2" fontId="0" fillId="0" borderId="2" xfId="0" applyNumberFormat="1" applyBorder="1"/>
    <xf numFmtId="0" fontId="0" fillId="0" borderId="2" xfId="0" applyBorder="1"/>
    <xf numFmtId="3" fontId="6" fillId="3" borderId="2" xfId="0" applyNumberFormat="1" applyFont="1" applyFill="1" applyBorder="1" applyAlignment="1">
      <alignment horizontal="center"/>
    </xf>
    <xf numFmtId="0" fontId="0" fillId="2" borderId="2" xfId="0" applyFill="1" applyBorder="1"/>
    <xf numFmtId="3" fontId="0" fillId="2" borderId="3" xfId="0" applyNumberForma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0" fillId="0" borderId="2" xfId="0" applyBorder="1" applyAlignment="1">
      <alignment horizontal="right"/>
    </xf>
    <xf numFmtId="0" fontId="0" fillId="5" borderId="2" xfId="0" applyFill="1" applyBorder="1" applyAlignment="1">
      <alignment horizontal="right"/>
    </xf>
    <xf numFmtId="4" fontId="0" fillId="5" borderId="2" xfId="0" applyNumberFormat="1" applyFill="1" applyBorder="1"/>
    <xf numFmtId="0" fontId="5" fillId="4" borderId="6" xfId="0" applyFont="1" applyFill="1" applyBorder="1"/>
    <xf numFmtId="3" fontId="0" fillId="0" borderId="2" xfId="0" applyNumberFormat="1" applyBorder="1" applyAlignment="1">
      <alignment horizontal="right"/>
    </xf>
    <xf numFmtId="3" fontId="0" fillId="5" borderId="3" xfId="0" applyNumberFormat="1" applyFill="1" applyBorder="1" applyAlignment="1">
      <alignment horizontal="right"/>
    </xf>
    <xf numFmtId="0" fontId="0" fillId="0" borderId="3" xfId="0" applyBorder="1" applyAlignment="1">
      <alignment horizontal="right"/>
    </xf>
    <xf numFmtId="0" fontId="3" fillId="5" borderId="2" xfId="1" applyNumberFormat="1" applyFont="1" applyFill="1" applyBorder="1" applyAlignment="1">
      <alignment horizontal="right"/>
    </xf>
    <xf numFmtId="3" fontId="0" fillId="0" borderId="2" xfId="0" applyNumberFormat="1" applyBorder="1"/>
    <xf numFmtId="3" fontId="7" fillId="0" borderId="2" xfId="0" applyNumberFormat="1" applyFont="1" applyBorder="1"/>
    <xf numFmtId="1" fontId="3" fillId="0" borderId="2" xfId="1" applyNumberFormat="1" applyBorder="1" applyAlignment="1">
      <alignment horizontal="right"/>
    </xf>
    <xf numFmtId="2" fontId="7" fillId="0" borderId="2" xfId="0" applyNumberFormat="1" applyFont="1" applyBorder="1"/>
    <xf numFmtId="4" fontId="7" fillId="0" borderId="2" xfId="0" applyNumberFormat="1" applyFont="1" applyBorder="1"/>
    <xf numFmtId="1" fontId="7" fillId="2" borderId="2" xfId="1" applyNumberFormat="1" applyFont="1" applyFill="1" applyBorder="1"/>
    <xf numFmtId="2" fontId="7" fillId="0" borderId="2" xfId="0" applyNumberFormat="1" applyFont="1" applyBorder="1" applyAlignment="1">
      <alignment horizontal="right"/>
    </xf>
    <xf numFmtId="0" fontId="3" fillId="0" borderId="2" xfId="1" applyNumberFormat="1" applyBorder="1" applyAlignment="1">
      <alignment horizontal="right"/>
    </xf>
    <xf numFmtId="3" fontId="0" fillId="9" borderId="2" xfId="0" applyNumberFormat="1" applyFill="1" applyBorder="1"/>
    <xf numFmtId="3" fontId="0" fillId="10" borderId="2" xfId="0" applyNumberFormat="1" applyFill="1" applyBorder="1"/>
    <xf numFmtId="2" fontId="3" fillId="0" borderId="2" xfId="2" applyNumberFormat="1" applyFont="1" applyBorder="1"/>
    <xf numFmtId="2" fontId="0" fillId="0" borderId="3" xfId="0" applyNumberFormat="1" applyBorder="1"/>
    <xf numFmtId="166" fontId="3" fillId="2" borderId="2" xfId="1" applyNumberFormat="1" applyFont="1" applyFill="1" applyBorder="1"/>
    <xf numFmtId="166" fontId="3" fillId="2" borderId="2" xfId="1" applyNumberFormat="1" applyFont="1" applyFill="1" applyBorder="1" applyAlignment="1">
      <alignment horizontal="right"/>
    </xf>
    <xf numFmtId="167" fontId="0" fillId="0" borderId="3" xfId="0" applyNumberFormat="1" applyBorder="1"/>
    <xf numFmtId="4" fontId="3" fillId="0" borderId="2" xfId="2" applyNumberFormat="1" applyFont="1" applyBorder="1"/>
    <xf numFmtId="168" fontId="0" fillId="2" borderId="2" xfId="0" applyNumberFormat="1" applyFill="1" applyBorder="1" applyAlignment="1">
      <alignment horizontal="right"/>
    </xf>
    <xf numFmtId="0" fontId="0" fillId="0" borderId="0" xfId="0" applyAlignment="1">
      <alignment horizontal="left"/>
    </xf>
    <xf numFmtId="0" fontId="0" fillId="5" borderId="10" xfId="0" applyFill="1" applyBorder="1"/>
    <xf numFmtId="3" fontId="0" fillId="5" borderId="10" xfId="0" applyNumberFormat="1" applyFill="1" applyBorder="1"/>
    <xf numFmtId="3" fontId="7" fillId="0" borderId="2" xfId="1" applyNumberFormat="1" applyFont="1" applyFill="1" applyBorder="1"/>
    <xf numFmtId="3" fontId="7" fillId="0" borderId="3" xfId="0" applyNumberFormat="1" applyFont="1" applyBorder="1"/>
    <xf numFmtId="3" fontId="7" fillId="0" borderId="2" xfId="1" applyNumberFormat="1" applyFont="1" applyFill="1" applyBorder="1" applyAlignment="1">
      <alignment vertical="center"/>
    </xf>
    <xf numFmtId="3" fontId="0" fillId="0" borderId="0" xfId="0" applyNumberFormat="1"/>
    <xf numFmtId="167" fontId="3" fillId="2" borderId="2" xfId="1" applyNumberFormat="1" applyFont="1" applyFill="1" applyBorder="1"/>
    <xf numFmtId="168" fontId="0" fillId="0" borderId="2" xfId="0" applyNumberFormat="1" applyBorder="1"/>
    <xf numFmtId="164" fontId="3" fillId="0" borderId="2" xfId="2" applyFont="1" applyFill="1" applyBorder="1"/>
    <xf numFmtId="166" fontId="3" fillId="0" borderId="2" xfId="1" applyNumberFormat="1" applyFont="1" applyFill="1" applyBorder="1"/>
    <xf numFmtId="0" fontId="7" fillId="0" borderId="2" xfId="2" applyNumberFormat="1" applyFont="1" applyBorder="1"/>
    <xf numFmtId="0" fontId="3" fillId="0" borderId="2" xfId="2" applyNumberFormat="1" applyFont="1" applyFill="1" applyBorder="1"/>
    <xf numFmtId="4" fontId="0" fillId="0" borderId="0" xfId="0" applyNumberFormat="1"/>
    <xf numFmtId="1" fontId="0" fillId="0" borderId="2" xfId="0" applyNumberFormat="1" applyBorder="1"/>
    <xf numFmtId="166" fontId="0" fillId="2" borderId="2" xfId="0" applyNumberFormat="1" applyFill="1" applyBorder="1"/>
    <xf numFmtId="2" fontId="3" fillId="2" borderId="2" xfId="1" applyNumberFormat="1" applyFont="1" applyFill="1" applyBorder="1"/>
    <xf numFmtId="169" fontId="0" fillId="5" borderId="2" xfId="0" applyNumberFormat="1" applyFill="1" applyBorder="1"/>
    <xf numFmtId="170" fontId="0" fillId="5" borderId="2" xfId="0" applyNumberFormat="1" applyFill="1" applyBorder="1"/>
    <xf numFmtId="166" fontId="0" fillId="2" borderId="2" xfId="0" applyNumberFormat="1" applyFill="1" applyBorder="1" applyAlignment="1">
      <alignment horizontal="right"/>
    </xf>
    <xf numFmtId="3" fontId="3" fillId="0" borderId="2" xfId="2" applyNumberFormat="1" applyFont="1" applyFill="1" applyBorder="1"/>
    <xf numFmtId="3" fontId="0" fillId="5" borderId="2" xfId="0" applyNumberFormat="1" applyFill="1" applyBorder="1" applyAlignment="1">
      <alignment horizontal="right"/>
    </xf>
    <xf numFmtId="167" fontId="7" fillId="0" borderId="2" xfId="0" applyNumberFormat="1" applyFont="1" applyBorder="1" applyAlignment="1">
      <alignment horizontal="right"/>
    </xf>
    <xf numFmtId="0" fontId="5" fillId="4" borderId="2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6" borderId="6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left"/>
    </xf>
    <xf numFmtId="0" fontId="6" fillId="7" borderId="6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left"/>
    </xf>
    <xf numFmtId="0" fontId="6" fillId="7" borderId="5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4" borderId="6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0" xfId="0" applyFont="1" applyAlignment="1">
      <alignment horizont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</cellXfs>
  <cellStyles count="23">
    <cellStyle name="Millares" xfId="1" builtinId="3"/>
    <cellStyle name="Millares [0]" xfId="2" builtinId="6"/>
    <cellStyle name="Millares 10" xfId="3" xr:uid="{00000000-0005-0000-0000-000002000000}"/>
    <cellStyle name="Millares 11" xfId="4" xr:uid="{00000000-0005-0000-0000-000003000000}"/>
    <cellStyle name="Millares 2" xfId="5" xr:uid="{00000000-0005-0000-0000-000004000000}"/>
    <cellStyle name="Millares 2 2" xfId="6" xr:uid="{00000000-0005-0000-0000-000005000000}"/>
    <cellStyle name="Millares 3" xfId="7" xr:uid="{00000000-0005-0000-0000-000006000000}"/>
    <cellStyle name="Millares 3 2" xfId="8" xr:uid="{00000000-0005-0000-0000-000007000000}"/>
    <cellStyle name="Millares 4" xfId="9" xr:uid="{00000000-0005-0000-0000-000008000000}"/>
    <cellStyle name="Millares 4 2" xfId="10" xr:uid="{00000000-0005-0000-0000-000009000000}"/>
    <cellStyle name="Millares 5" xfId="11" xr:uid="{00000000-0005-0000-0000-00000A000000}"/>
    <cellStyle name="Millares 5 2" xfId="12" xr:uid="{00000000-0005-0000-0000-00000B000000}"/>
    <cellStyle name="Millares 6" xfId="13" xr:uid="{00000000-0005-0000-0000-00000C000000}"/>
    <cellStyle name="Millares 6 2" xfId="14" xr:uid="{00000000-0005-0000-0000-00000D000000}"/>
    <cellStyle name="Millares 7" xfId="15" xr:uid="{00000000-0005-0000-0000-00000E000000}"/>
    <cellStyle name="Millares 7 2" xfId="16" xr:uid="{00000000-0005-0000-0000-00000F000000}"/>
    <cellStyle name="Millares 8" xfId="17" xr:uid="{00000000-0005-0000-0000-000010000000}"/>
    <cellStyle name="Millares 9" xfId="18" xr:uid="{00000000-0005-0000-0000-000011000000}"/>
    <cellStyle name="Normal" xfId="0" builtinId="0"/>
    <cellStyle name="Normal 2" xfId="19" xr:uid="{00000000-0005-0000-0000-000013000000}"/>
    <cellStyle name="Normal 3" xfId="20" xr:uid="{00000000-0005-0000-0000-000014000000}"/>
    <cellStyle name="Normal 4" xfId="21" xr:uid="{00000000-0005-0000-0000-000015000000}"/>
    <cellStyle name="Normal 9" xfId="22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96"/>
  <sheetViews>
    <sheetView topLeftCell="B1" zoomScaleNormal="100" workbookViewId="0">
      <selection activeCell="C67" sqref="C67:C71"/>
    </sheetView>
  </sheetViews>
  <sheetFormatPr baseColWidth="10" defaultColWidth="9.140625" defaultRowHeight="15" x14ac:dyDescent="0.25"/>
  <cols>
    <col min="1" max="1" width="11.42578125" style="1" customWidth="1"/>
    <col min="2" max="2" width="45.28515625" customWidth="1"/>
    <col min="3" max="3" width="25" customWidth="1"/>
    <col min="4" max="4" width="22.7109375" customWidth="1"/>
    <col min="5" max="5" width="24.140625" bestFit="1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7" t="s">
        <v>1</v>
      </c>
      <c r="D2" s="88"/>
      <c r="E2" s="88"/>
      <c r="F2" s="88"/>
      <c r="G2" s="89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8" t="s">
        <v>7</v>
      </c>
      <c r="C4" s="79"/>
      <c r="D4" s="79"/>
      <c r="E4" s="79"/>
      <c r="F4" s="79"/>
      <c r="G4" s="80"/>
    </row>
    <row r="5" spans="1:7" x14ac:dyDescent="0.25">
      <c r="B5" s="74" t="s">
        <v>103</v>
      </c>
      <c r="C5" s="75"/>
      <c r="D5" s="75"/>
      <c r="E5" s="75"/>
      <c r="F5" s="75"/>
      <c r="G5" s="76"/>
    </row>
    <row r="6" spans="1:7" x14ac:dyDescent="0.25">
      <c r="B6" s="4" t="s">
        <v>104</v>
      </c>
      <c r="C6" s="12">
        <v>55070</v>
      </c>
      <c r="D6" s="12">
        <v>8210</v>
      </c>
      <c r="E6" s="17">
        <v>9369</v>
      </c>
      <c r="F6" s="12">
        <v>10479</v>
      </c>
      <c r="G6" s="12">
        <f>+F6+E6+D6+C6</f>
        <v>83128</v>
      </c>
    </row>
    <row r="7" spans="1:7" x14ac:dyDescent="0.25">
      <c r="B7" s="14" t="s">
        <v>105</v>
      </c>
      <c r="C7" s="12">
        <v>531</v>
      </c>
      <c r="D7" s="12">
        <v>229</v>
      </c>
      <c r="E7" s="17">
        <v>12</v>
      </c>
      <c r="F7" s="12">
        <v>135</v>
      </c>
      <c r="G7" s="12">
        <f>+F7+E7+D7+C7</f>
        <v>907</v>
      </c>
    </row>
    <row r="8" spans="1:7" x14ac:dyDescent="0.25">
      <c r="B8" s="18" t="s">
        <v>106</v>
      </c>
      <c r="C8" s="25">
        <v>55601</v>
      </c>
      <c r="D8" s="25">
        <v>8439</v>
      </c>
      <c r="E8" s="25">
        <v>9381</v>
      </c>
      <c r="F8" s="25">
        <v>10614</v>
      </c>
      <c r="G8" s="25">
        <f>+F8+E8+D8+C8</f>
        <v>84035</v>
      </c>
    </row>
    <row r="9" spans="1:7" x14ac:dyDescent="0.25">
      <c r="B9" s="69"/>
      <c r="C9" s="69"/>
      <c r="D9" s="69"/>
      <c r="E9" s="69"/>
      <c r="F9" s="69"/>
      <c r="G9" s="69"/>
    </row>
    <row r="10" spans="1:7" x14ac:dyDescent="0.25">
      <c r="B10" s="74" t="s">
        <v>8</v>
      </c>
      <c r="C10" s="75"/>
      <c r="D10" s="75"/>
      <c r="E10" s="75"/>
      <c r="F10" s="75"/>
      <c r="G10" s="76"/>
    </row>
    <row r="11" spans="1:7" x14ac:dyDescent="0.25">
      <c r="B11" s="70" t="s">
        <v>9</v>
      </c>
      <c r="C11" s="71"/>
      <c r="D11" s="71"/>
      <c r="E11" s="71"/>
      <c r="F11" s="71"/>
      <c r="G11" s="72"/>
    </row>
    <row r="12" spans="1:7" x14ac:dyDescent="0.25">
      <c r="B12" s="16" t="s">
        <v>10</v>
      </c>
      <c r="C12" s="37">
        <v>937542</v>
      </c>
      <c r="D12" s="37">
        <v>144761</v>
      </c>
      <c r="E12" s="37">
        <v>57452</v>
      </c>
      <c r="F12" s="17">
        <v>0</v>
      </c>
      <c r="G12" s="17">
        <f>SUM(C12:F12)</f>
        <v>1139755</v>
      </c>
    </row>
    <row r="13" spans="1:7" x14ac:dyDescent="0.25">
      <c r="B13" s="16" t="s">
        <v>11</v>
      </c>
      <c r="C13" s="37">
        <v>2324459</v>
      </c>
      <c r="D13" s="37">
        <v>543401</v>
      </c>
      <c r="E13" s="37">
        <v>229956</v>
      </c>
      <c r="F13" s="17">
        <v>0</v>
      </c>
      <c r="G13" s="17">
        <f>SUM(C13:F13)</f>
        <v>3097816</v>
      </c>
    </row>
    <row r="14" spans="1:7" x14ac:dyDescent="0.25">
      <c r="B14" s="18" t="s">
        <v>12</v>
      </c>
      <c r="C14" s="19">
        <f>C13+C12</f>
        <v>3262001</v>
      </c>
      <c r="D14" s="19">
        <v>953483</v>
      </c>
      <c r="E14" s="19">
        <v>287408</v>
      </c>
      <c r="F14" s="19">
        <v>362359</v>
      </c>
      <c r="G14" s="19">
        <f>SUM(C14:F14)</f>
        <v>4865251</v>
      </c>
    </row>
    <row r="15" spans="1:7" x14ac:dyDescent="0.25">
      <c r="B15" s="18" t="s">
        <v>13</v>
      </c>
      <c r="C15" s="19">
        <v>436696</v>
      </c>
      <c r="D15" s="19">
        <v>147260</v>
      </c>
      <c r="E15" s="19">
        <v>2859</v>
      </c>
      <c r="F15" s="19">
        <v>86040</v>
      </c>
      <c r="G15" s="19">
        <f>SUM(C15:F15)</f>
        <v>672855</v>
      </c>
    </row>
    <row r="16" spans="1:7" x14ac:dyDescent="0.25">
      <c r="B16" s="18" t="s">
        <v>14</v>
      </c>
      <c r="C16" s="19">
        <f>C15+C14</f>
        <v>3698697</v>
      </c>
      <c r="D16" s="19">
        <v>1100743</v>
      </c>
      <c r="E16" s="19">
        <v>290267</v>
      </c>
      <c r="F16" s="19">
        <v>448399</v>
      </c>
      <c r="G16" s="19">
        <f>SUM(C16:F16)</f>
        <v>5538106</v>
      </c>
    </row>
    <row r="17" spans="2:8" x14ac:dyDescent="0.25">
      <c r="B17" s="69"/>
      <c r="C17" s="69"/>
      <c r="D17" s="69"/>
      <c r="E17" s="69"/>
      <c r="F17" s="69"/>
      <c r="G17" s="69"/>
    </row>
    <row r="18" spans="2:8" x14ac:dyDescent="0.25">
      <c r="B18" s="70" t="s">
        <v>15</v>
      </c>
      <c r="C18" s="71"/>
      <c r="D18" s="71"/>
      <c r="E18" s="71"/>
      <c r="F18" s="71"/>
      <c r="G18" s="72"/>
    </row>
    <row r="19" spans="2:8" x14ac:dyDescent="0.25">
      <c r="B19" s="14" t="s">
        <v>16</v>
      </c>
      <c r="C19" s="28">
        <v>3594</v>
      </c>
      <c r="D19" s="28">
        <v>4</v>
      </c>
      <c r="E19" s="28">
        <v>0</v>
      </c>
      <c r="F19" s="28">
        <v>0</v>
      </c>
      <c r="G19" s="28">
        <f>SUM(C19:F19)</f>
        <v>3598</v>
      </c>
    </row>
    <row r="20" spans="2:8" x14ac:dyDescent="0.25">
      <c r="B20" s="90"/>
      <c r="C20" s="90"/>
      <c r="D20" s="90"/>
      <c r="E20" s="90"/>
      <c r="F20" s="90"/>
      <c r="G20" s="90"/>
    </row>
    <row r="21" spans="2:8" x14ac:dyDescent="0.25">
      <c r="B21" s="18" t="s">
        <v>17</v>
      </c>
      <c r="C21" s="19">
        <f>+C19+C16</f>
        <v>3702291</v>
      </c>
      <c r="D21" s="19">
        <v>1100747</v>
      </c>
      <c r="E21" s="19">
        <v>290267</v>
      </c>
      <c r="F21" s="19">
        <f>F16</f>
        <v>448399</v>
      </c>
      <c r="G21" s="19">
        <f>SUM(C21:F21)</f>
        <v>5541704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18</v>
      </c>
      <c r="C23" s="9"/>
      <c r="D23" s="9"/>
      <c r="E23" s="9"/>
      <c r="F23" s="9"/>
      <c r="G23" s="10"/>
    </row>
    <row r="24" spans="2:8" x14ac:dyDescent="0.25">
      <c r="B24" s="18" t="s">
        <v>19</v>
      </c>
      <c r="C24" s="19">
        <v>398311</v>
      </c>
      <c r="D24" s="19">
        <v>206755</v>
      </c>
      <c r="E24" s="19">
        <v>131587</v>
      </c>
      <c r="F24" s="19">
        <v>672884</v>
      </c>
      <c r="G24" s="19">
        <f>SUM(C24:F24)</f>
        <v>1409537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20</v>
      </c>
      <c r="C26" s="9"/>
      <c r="D26" s="9"/>
      <c r="E26" s="9"/>
      <c r="F26" s="9"/>
      <c r="G26" s="10"/>
    </row>
    <row r="27" spans="2:8" x14ac:dyDescent="0.25">
      <c r="B27" s="18" t="s">
        <v>21</v>
      </c>
      <c r="C27" s="19">
        <f>+C24+C21</f>
        <v>4100602</v>
      </c>
      <c r="D27" s="19">
        <v>1307502</v>
      </c>
      <c r="E27" s="19">
        <f>+E21+E24</f>
        <v>421854</v>
      </c>
      <c r="F27" s="19">
        <f>+F24+F21</f>
        <v>1121283</v>
      </c>
      <c r="G27" s="19">
        <f>SUM(C27:F27)</f>
        <v>6951241</v>
      </c>
    </row>
    <row r="28" spans="2:8" x14ac:dyDescent="0.25">
      <c r="B28" s="69"/>
      <c r="C28" s="69"/>
      <c r="D28" s="69"/>
      <c r="E28" s="69"/>
      <c r="F28" s="69"/>
      <c r="G28" s="69"/>
      <c r="H28" s="69"/>
    </row>
    <row r="29" spans="2:8" x14ac:dyDescent="0.25">
      <c r="B29" s="74" t="s">
        <v>22</v>
      </c>
      <c r="C29" s="75"/>
      <c r="D29" s="75"/>
      <c r="E29" s="75"/>
      <c r="F29" s="75"/>
      <c r="G29" s="76"/>
    </row>
    <row r="30" spans="2:8" x14ac:dyDescent="0.25">
      <c r="B30" s="14" t="s">
        <v>23</v>
      </c>
      <c r="C30" s="28">
        <v>1277219</v>
      </c>
      <c r="D30" s="28">
        <v>225887</v>
      </c>
      <c r="E30" s="28">
        <v>92491</v>
      </c>
      <c r="F30" s="28">
        <v>208534</v>
      </c>
      <c r="G30" s="28">
        <f>SUM(C30:F30)</f>
        <v>1804131</v>
      </c>
    </row>
    <row r="31" spans="2:8" x14ac:dyDescent="0.25">
      <c r="B31" s="69"/>
      <c r="C31" s="69"/>
      <c r="D31" s="69"/>
      <c r="E31" s="69"/>
      <c r="F31" s="69"/>
      <c r="G31" s="69"/>
      <c r="H31" s="69"/>
    </row>
    <row r="32" spans="2:8" x14ac:dyDescent="0.25">
      <c r="B32" s="74" t="s">
        <v>24</v>
      </c>
      <c r="C32" s="75"/>
      <c r="D32" s="75"/>
      <c r="E32" s="75"/>
      <c r="F32" s="75"/>
      <c r="G32" s="76"/>
    </row>
    <row r="33" spans="2:9" x14ac:dyDescent="0.25">
      <c r="B33" s="14" t="s">
        <v>25</v>
      </c>
      <c r="C33" s="28">
        <v>3341659067973</v>
      </c>
      <c r="D33" s="28">
        <v>599414839535</v>
      </c>
      <c r="E33" s="28">
        <v>242738922019</v>
      </c>
      <c r="F33" s="28">
        <v>297395545042</v>
      </c>
      <c r="G33" s="28">
        <f>SUM(C33:F33)</f>
        <v>4481208374569</v>
      </c>
    </row>
    <row r="34" spans="2:9" x14ac:dyDescent="0.25">
      <c r="B34" s="14" t="s">
        <v>26</v>
      </c>
      <c r="C34" s="28">
        <v>127890544306</v>
      </c>
      <c r="D34" s="28">
        <v>55976241821</v>
      </c>
      <c r="E34" s="28">
        <v>31869146400</v>
      </c>
      <c r="F34" s="28">
        <v>123143524770</v>
      </c>
      <c r="G34" s="28">
        <f>SUM(C34:F34)</f>
        <v>338879457297</v>
      </c>
    </row>
    <row r="35" spans="2:9" x14ac:dyDescent="0.25">
      <c r="B35" s="46" t="s">
        <v>27</v>
      </c>
      <c r="C35" s="47">
        <f>SUM(C33:C34)</f>
        <v>3469549612279</v>
      </c>
      <c r="D35" s="47">
        <v>655391081356</v>
      </c>
      <c r="E35" s="47">
        <v>274608068419</v>
      </c>
      <c r="F35" s="47">
        <v>420539069812</v>
      </c>
      <c r="G35" s="47">
        <f>SUM(C35:F35)</f>
        <v>4820087831866</v>
      </c>
    </row>
    <row r="36" spans="2:9" x14ac:dyDescent="0.25">
      <c r="B36" s="85" t="s">
        <v>108</v>
      </c>
      <c r="C36" s="85"/>
      <c r="D36" s="85"/>
      <c r="E36" s="85"/>
      <c r="F36" s="85"/>
      <c r="G36" s="85"/>
      <c r="H36" s="85"/>
    </row>
    <row r="37" spans="2:9" x14ac:dyDescent="0.25">
      <c r="B37" s="45"/>
      <c r="C37" s="45"/>
      <c r="D37" s="45"/>
      <c r="E37" s="45"/>
      <c r="F37" s="45"/>
      <c r="G37" s="45"/>
      <c r="H37" s="45"/>
    </row>
    <row r="38" spans="2:9" ht="21" x14ac:dyDescent="0.35">
      <c r="B38" s="78" t="s">
        <v>28</v>
      </c>
      <c r="C38" s="79"/>
      <c r="D38" s="79"/>
      <c r="E38" s="79"/>
      <c r="F38" s="79"/>
      <c r="G38" s="80"/>
    </row>
    <row r="39" spans="2:9" x14ac:dyDescent="0.25">
      <c r="B39" s="74" t="s">
        <v>29</v>
      </c>
      <c r="C39" s="75"/>
      <c r="D39" s="75"/>
      <c r="E39" s="75"/>
      <c r="F39" s="75"/>
      <c r="G39" s="76"/>
    </row>
    <row r="40" spans="2:9" x14ac:dyDescent="0.25">
      <c r="B40" s="14" t="s">
        <v>30</v>
      </c>
      <c r="C40" s="28">
        <v>562380</v>
      </c>
      <c r="D40" s="28">
        <v>131022</v>
      </c>
      <c r="E40" s="28">
        <v>51140</v>
      </c>
      <c r="F40" s="28">
        <v>70144</v>
      </c>
      <c r="G40" s="28">
        <f>SUM(C40:F40)</f>
        <v>814686</v>
      </c>
      <c r="H40" s="7"/>
      <c r="I40" s="7"/>
    </row>
    <row r="41" spans="2:9" x14ac:dyDescent="0.25">
      <c r="B41" s="14" t="s">
        <v>31</v>
      </c>
      <c r="C41" s="28">
        <f>2501740272/1000000</f>
        <v>2501.740272</v>
      </c>
      <c r="D41" s="28">
        <v>736.23188500000003</v>
      </c>
      <c r="E41" s="28">
        <v>322</v>
      </c>
      <c r="F41" s="12">
        <v>383.26853299999999</v>
      </c>
      <c r="G41" s="11">
        <f>SUM(C41:F41)</f>
        <v>3943.2406900000001</v>
      </c>
      <c r="H41" s="7"/>
      <c r="I41" s="7"/>
    </row>
    <row r="42" spans="2:9" x14ac:dyDescent="0.25">
      <c r="B42" s="69"/>
      <c r="C42" s="69"/>
      <c r="D42" s="69"/>
      <c r="E42" s="69"/>
      <c r="F42" s="69"/>
      <c r="G42" s="69"/>
      <c r="H42" s="69"/>
      <c r="I42" s="7"/>
    </row>
    <row r="43" spans="2:9" x14ac:dyDescent="0.25">
      <c r="B43" s="68" t="s">
        <v>32</v>
      </c>
      <c r="C43" s="68"/>
      <c r="D43" s="68"/>
      <c r="E43" s="68"/>
      <c r="F43" s="68"/>
      <c r="G43" s="68"/>
      <c r="I43" s="7"/>
    </row>
    <row r="44" spans="2:9" x14ac:dyDescent="0.25">
      <c r="B44" s="14" t="s">
        <v>33</v>
      </c>
      <c r="C44" s="28">
        <v>12</v>
      </c>
      <c r="D44" s="28">
        <v>1</v>
      </c>
      <c r="E44" s="28">
        <v>1</v>
      </c>
      <c r="F44" s="28">
        <v>2</v>
      </c>
      <c r="G44" s="28">
        <f>SUM(C44:F44)</f>
        <v>16</v>
      </c>
      <c r="H44" s="7"/>
      <c r="I44" s="7"/>
    </row>
    <row r="45" spans="2:9" x14ac:dyDescent="0.25">
      <c r="B45" s="14" t="s">
        <v>34</v>
      </c>
      <c r="C45" s="28">
        <f>4654949/1000000</f>
        <v>4.6549490000000002</v>
      </c>
      <c r="D45" s="28">
        <v>8.6689999999999996E-3</v>
      </c>
      <c r="E45" s="28">
        <v>0.1</v>
      </c>
      <c r="F45" s="28">
        <v>0.121561</v>
      </c>
      <c r="G45" s="11">
        <f>SUM(C45:F45)</f>
        <v>4.8851789999999999</v>
      </c>
      <c r="H45" s="7"/>
      <c r="I45" s="7"/>
    </row>
    <row r="46" spans="2:9" x14ac:dyDescent="0.25">
      <c r="B46" s="69"/>
      <c r="C46" s="69"/>
      <c r="D46" s="69"/>
      <c r="E46" s="69"/>
      <c r="F46" s="69"/>
      <c r="G46" s="69"/>
      <c r="H46" s="69"/>
      <c r="I46" s="7"/>
    </row>
    <row r="47" spans="2:9" x14ac:dyDescent="0.25">
      <c r="B47" s="68" t="s">
        <v>35</v>
      </c>
      <c r="C47" s="68"/>
      <c r="D47" s="68"/>
      <c r="E47" s="68"/>
      <c r="F47" s="68"/>
      <c r="G47" s="68"/>
      <c r="I47" s="7"/>
    </row>
    <row r="48" spans="2:9" x14ac:dyDescent="0.25">
      <c r="B48" s="14" t="s">
        <v>36</v>
      </c>
      <c r="C48" s="28">
        <v>156345</v>
      </c>
      <c r="D48" s="28">
        <v>87555</v>
      </c>
      <c r="E48" s="28">
        <v>11120</v>
      </c>
      <c r="F48" s="28">
        <v>62657</v>
      </c>
      <c r="G48" s="28">
        <f>SUM(C48:F48)</f>
        <v>317677</v>
      </c>
      <c r="H48" s="7"/>
      <c r="I48" s="7"/>
    </row>
    <row r="49" spans="2:9" x14ac:dyDescent="0.25">
      <c r="B49" s="14" t="s">
        <v>37</v>
      </c>
      <c r="C49" s="28">
        <f>(67589259799
+ 1082876264)/1000000</f>
        <v>68672.136062999998</v>
      </c>
      <c r="D49" s="28">
        <v>28810.010135</v>
      </c>
      <c r="E49" s="28">
        <v>9140.8283389999997</v>
      </c>
      <c r="F49" s="12">
        <v>9803.7680230000005</v>
      </c>
      <c r="G49" s="11">
        <f>SUM(C49:F49)</f>
        <v>116426.74256</v>
      </c>
      <c r="H49" s="7"/>
      <c r="I49" s="7"/>
    </row>
    <row r="50" spans="2:9" x14ac:dyDescent="0.25">
      <c r="B50" s="69"/>
      <c r="C50" s="69"/>
      <c r="D50" s="69"/>
      <c r="E50" s="69"/>
      <c r="F50" s="69"/>
      <c r="G50" s="69"/>
      <c r="H50" s="69"/>
    </row>
    <row r="51" spans="2:9" ht="21" x14ac:dyDescent="0.35">
      <c r="B51" s="78" t="s">
        <v>38</v>
      </c>
      <c r="C51" s="79"/>
      <c r="D51" s="79"/>
      <c r="E51" s="79"/>
      <c r="F51" s="79"/>
      <c r="G51" s="80"/>
    </row>
    <row r="52" spans="2:9" x14ac:dyDescent="0.25">
      <c r="B52" s="86"/>
      <c r="C52" s="86"/>
      <c r="D52" s="86"/>
      <c r="E52" s="86"/>
      <c r="F52" s="86"/>
      <c r="G52" s="86"/>
      <c r="H52" s="86"/>
    </row>
    <row r="53" spans="2:9" x14ac:dyDescent="0.25">
      <c r="B53" s="68" t="s">
        <v>39</v>
      </c>
      <c r="C53" s="68"/>
      <c r="D53" s="68"/>
      <c r="E53" s="68"/>
      <c r="F53" s="68"/>
      <c r="G53" s="68"/>
    </row>
    <row r="54" spans="2:9" x14ac:dyDescent="0.25">
      <c r="B54" s="73" t="s">
        <v>40</v>
      </c>
      <c r="C54" s="73"/>
      <c r="D54" s="73"/>
      <c r="E54" s="73"/>
      <c r="F54" s="73"/>
      <c r="G54" s="73"/>
    </row>
    <row r="55" spans="2:9" x14ac:dyDescent="0.25">
      <c r="B55" s="14" t="s">
        <v>41</v>
      </c>
      <c r="C55" s="28">
        <v>67154</v>
      </c>
      <c r="D55" s="28">
        <v>4520</v>
      </c>
      <c r="E55" s="28">
        <v>1676</v>
      </c>
      <c r="F55" s="28">
        <v>3660</v>
      </c>
      <c r="G55" s="28">
        <f t="shared" ref="G55:G71" si="0">SUM(C55:F55)</f>
        <v>77010</v>
      </c>
    </row>
    <row r="56" spans="2:9" x14ac:dyDescent="0.25">
      <c r="B56" s="14" t="s">
        <v>42</v>
      </c>
      <c r="C56" s="28">
        <v>73984.390656999996</v>
      </c>
      <c r="D56" s="28">
        <v>7021.1083339999996</v>
      </c>
      <c r="E56" s="28">
        <v>2725.379825</v>
      </c>
      <c r="F56" s="28">
        <v>8956</v>
      </c>
      <c r="G56" s="28">
        <f t="shared" si="0"/>
        <v>92686.878815999997</v>
      </c>
    </row>
    <row r="57" spans="2:9" x14ac:dyDescent="0.25">
      <c r="B57" s="14" t="s">
        <v>43</v>
      </c>
      <c r="C57" s="28">
        <v>18.824135568990702</v>
      </c>
      <c r="D57" s="28">
        <v>41.775268346009462</v>
      </c>
      <c r="E57" s="28">
        <v>27</v>
      </c>
      <c r="F57" s="28">
        <v>33</v>
      </c>
      <c r="G57" s="28">
        <f>AVERAGE(C57:F57)</f>
        <v>30.149850978750042</v>
      </c>
    </row>
    <row r="58" spans="2:9" x14ac:dyDescent="0.25">
      <c r="B58" s="14" t="s">
        <v>44</v>
      </c>
      <c r="C58" s="28">
        <v>739190</v>
      </c>
      <c r="D58" s="28">
        <v>145196</v>
      </c>
      <c r="E58" s="28">
        <v>47399</v>
      </c>
      <c r="F58" s="28">
        <v>63428</v>
      </c>
      <c r="G58" s="28">
        <f t="shared" si="0"/>
        <v>995213</v>
      </c>
    </row>
    <row r="59" spans="2:9" x14ac:dyDescent="0.25">
      <c r="B59" s="14" t="s">
        <v>115</v>
      </c>
      <c r="C59" s="28">
        <v>1487058.2477510001</v>
      </c>
      <c r="D59" s="28">
        <v>282200.548801</v>
      </c>
      <c r="E59" s="28">
        <v>96581.306660000002</v>
      </c>
      <c r="F59" s="28">
        <v>122419</v>
      </c>
      <c r="G59" s="11">
        <f t="shared" si="0"/>
        <v>1988259.1032120001</v>
      </c>
    </row>
    <row r="60" spans="2:9" x14ac:dyDescent="0.25">
      <c r="B60" s="73" t="s">
        <v>45</v>
      </c>
      <c r="C60" s="73"/>
      <c r="D60" s="73"/>
      <c r="E60" s="73"/>
      <c r="F60" s="73"/>
      <c r="G60" s="73"/>
    </row>
    <row r="61" spans="2:9" x14ac:dyDescent="0.25">
      <c r="B61" s="14" t="s">
        <v>41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42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43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44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115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3" t="s">
        <v>46</v>
      </c>
      <c r="C66" s="73"/>
      <c r="D66" s="73"/>
      <c r="E66" s="73"/>
      <c r="F66" s="73"/>
      <c r="G66" s="73"/>
    </row>
    <row r="67" spans="2:8" x14ac:dyDescent="0.25">
      <c r="B67" s="14" t="s">
        <v>41</v>
      </c>
      <c r="C67" s="28">
        <v>5169</v>
      </c>
      <c r="D67" s="28">
        <v>1361</v>
      </c>
      <c r="E67" s="28">
        <v>853</v>
      </c>
      <c r="F67" s="28">
        <v>11243</v>
      </c>
      <c r="G67" s="28">
        <f t="shared" si="0"/>
        <v>18626</v>
      </c>
    </row>
    <row r="68" spans="2:8" x14ac:dyDescent="0.25">
      <c r="B68" s="14" t="s">
        <v>42</v>
      </c>
      <c r="C68" s="28">
        <v>4134.0929569999998</v>
      </c>
      <c r="D68" s="28">
        <v>1262.388483</v>
      </c>
      <c r="E68" s="28">
        <v>883.91400699999997</v>
      </c>
      <c r="F68" s="28">
        <v>12497</v>
      </c>
      <c r="G68" s="28">
        <f t="shared" si="0"/>
        <v>18777.395446999999</v>
      </c>
    </row>
    <row r="69" spans="2:8" x14ac:dyDescent="0.25">
      <c r="B69" s="14" t="s">
        <v>43</v>
      </c>
      <c r="C69" s="28">
        <v>40.620042561423901</v>
      </c>
      <c r="D69" s="28">
        <v>55.577160733785597</v>
      </c>
      <c r="E69" s="28">
        <v>50</v>
      </c>
      <c r="F69" s="28">
        <v>43</v>
      </c>
      <c r="G69" s="28">
        <f>AVERAGE(C69:F69)</f>
        <v>47.299300823802376</v>
      </c>
    </row>
    <row r="70" spans="2:8" x14ac:dyDescent="0.25">
      <c r="B70" s="14" t="s">
        <v>44</v>
      </c>
      <c r="C70" s="28">
        <v>102900</v>
      </c>
      <c r="D70" s="28">
        <v>83315</v>
      </c>
      <c r="E70" s="28">
        <v>54033</v>
      </c>
      <c r="F70" s="28">
        <v>231041</v>
      </c>
      <c r="G70" s="28">
        <f t="shared" si="0"/>
        <v>471289</v>
      </c>
    </row>
    <row r="71" spans="2:8" x14ac:dyDescent="0.25">
      <c r="B71" s="14" t="s">
        <v>115</v>
      </c>
      <c r="C71" s="28">
        <v>86092.595310999997</v>
      </c>
      <c r="D71" s="28">
        <v>76228.511499</v>
      </c>
      <c r="E71" s="28">
        <v>49910.870234000002</v>
      </c>
      <c r="F71" s="28">
        <v>171775</v>
      </c>
      <c r="G71" s="11">
        <f t="shared" si="0"/>
        <v>384006.977044</v>
      </c>
    </row>
    <row r="72" spans="2:8" x14ac:dyDescent="0.25">
      <c r="B72" s="82" t="s">
        <v>47</v>
      </c>
      <c r="C72" s="83"/>
      <c r="D72" s="83"/>
      <c r="E72" s="83"/>
      <c r="F72" s="83"/>
      <c r="G72" s="84"/>
    </row>
    <row r="73" spans="2:8" x14ac:dyDescent="0.25">
      <c r="B73" s="18" t="s">
        <v>116</v>
      </c>
      <c r="C73" s="19">
        <f>+C55+C67</f>
        <v>72323</v>
      </c>
      <c r="D73" s="19">
        <v>5881</v>
      </c>
      <c r="E73" s="19">
        <v>2529</v>
      </c>
      <c r="F73" s="19">
        <v>14903</v>
      </c>
      <c r="G73" s="19">
        <f>SUM(C73:F73)</f>
        <v>95636</v>
      </c>
    </row>
    <row r="74" spans="2:8" x14ac:dyDescent="0.25">
      <c r="B74" s="18" t="s">
        <v>42</v>
      </c>
      <c r="C74" s="19">
        <f>+C56+C68</f>
        <v>78118.483613999997</v>
      </c>
      <c r="D74" s="19">
        <v>8283.4968169999993</v>
      </c>
      <c r="E74" s="19">
        <v>3609.2938319999998</v>
      </c>
      <c r="F74" s="19">
        <v>21453</v>
      </c>
      <c r="G74" s="22">
        <f>SUM(C74:F74)</f>
        <v>111464.274263</v>
      </c>
    </row>
    <row r="75" spans="2:8" x14ac:dyDescent="0.25">
      <c r="B75" s="18" t="s">
        <v>43</v>
      </c>
      <c r="C75" s="19">
        <v>19.604778609174801</v>
      </c>
      <c r="D75" s="19">
        <v>32.450809693265022</v>
      </c>
      <c r="E75" s="19">
        <v>35</v>
      </c>
      <c r="F75" s="19">
        <v>38</v>
      </c>
      <c r="G75" s="19">
        <f>AVERAGE(C75:F75)</f>
        <v>31.263897075609954</v>
      </c>
    </row>
    <row r="76" spans="2:8" x14ac:dyDescent="0.25">
      <c r="B76" s="18" t="s">
        <v>44</v>
      </c>
      <c r="C76" s="19">
        <f>+C58+C70</f>
        <v>842090</v>
      </c>
      <c r="D76" s="19">
        <v>228511</v>
      </c>
      <c r="E76" s="19">
        <v>101432</v>
      </c>
      <c r="F76" s="19">
        <v>294469</v>
      </c>
      <c r="G76" s="19">
        <f>SUM(C76:F76)</f>
        <v>1466502</v>
      </c>
    </row>
    <row r="77" spans="2:8" x14ac:dyDescent="0.25">
      <c r="B77" s="18" t="s">
        <v>115</v>
      </c>
      <c r="C77" s="19">
        <f>+C59+C71</f>
        <v>1573150.8430620001</v>
      </c>
      <c r="D77" s="19">
        <v>358429.06030000001</v>
      </c>
      <c r="E77" s="19">
        <v>146492.176894</v>
      </c>
      <c r="F77" s="19">
        <v>294194</v>
      </c>
      <c r="G77" s="22">
        <f>SUM(C77:F77)</f>
        <v>2372266.0802560002</v>
      </c>
    </row>
    <row r="78" spans="2:8" x14ac:dyDescent="0.25">
      <c r="B78" s="69"/>
      <c r="C78" s="69"/>
      <c r="D78" s="69"/>
      <c r="E78" s="69"/>
      <c r="F78" s="69"/>
      <c r="G78" s="69"/>
      <c r="H78" s="69"/>
    </row>
    <row r="79" spans="2:8" x14ac:dyDescent="0.25">
      <c r="B79" s="74" t="s">
        <v>48</v>
      </c>
      <c r="C79" s="75"/>
      <c r="D79" s="75"/>
      <c r="E79" s="75"/>
      <c r="F79" s="75"/>
      <c r="G79" s="76"/>
    </row>
    <row r="80" spans="2:8" x14ac:dyDescent="0.25">
      <c r="B80" s="70" t="s">
        <v>40</v>
      </c>
      <c r="C80" s="71"/>
      <c r="D80" s="71"/>
      <c r="E80" s="71"/>
      <c r="F80" s="71"/>
      <c r="G80" s="72"/>
    </row>
    <row r="81" spans="2:7" x14ac:dyDescent="0.25">
      <c r="B81" s="14" t="s">
        <v>41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42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43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44</v>
      </c>
      <c r="C84" s="28">
        <v>1053</v>
      </c>
      <c r="D84" s="28">
        <v>129</v>
      </c>
      <c r="E84" s="28">
        <v>6</v>
      </c>
      <c r="F84" s="24">
        <v>109</v>
      </c>
      <c r="G84" s="24">
        <f>SUM(C84:F84)</f>
        <v>1297</v>
      </c>
    </row>
    <row r="85" spans="2:7" x14ac:dyDescent="0.25">
      <c r="B85" s="14" t="s">
        <v>115</v>
      </c>
      <c r="C85" s="28">
        <v>21220.291558000001</v>
      </c>
      <c r="D85" s="28">
        <v>1506</v>
      </c>
      <c r="E85" s="28">
        <v>75</v>
      </c>
      <c r="F85" s="28">
        <v>1906.632791</v>
      </c>
      <c r="G85" s="11">
        <f>SUM(C85:F85)</f>
        <v>24707.924349000001</v>
      </c>
    </row>
    <row r="86" spans="2:7" x14ac:dyDescent="0.25">
      <c r="B86" s="70" t="s">
        <v>45</v>
      </c>
      <c r="C86" s="71"/>
      <c r="D86" s="71"/>
      <c r="E86" s="71"/>
      <c r="F86" s="71"/>
      <c r="G86" s="72"/>
    </row>
    <row r="87" spans="2:7" x14ac:dyDescent="0.25">
      <c r="B87" s="14" t="s">
        <v>41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42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43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44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115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0" t="s">
        <v>46</v>
      </c>
      <c r="C92" s="71"/>
      <c r="D92" s="71"/>
      <c r="E92" s="71"/>
      <c r="F92" s="71"/>
      <c r="G92" s="72"/>
    </row>
    <row r="93" spans="2:7" x14ac:dyDescent="0.25">
      <c r="B93" s="14" t="s">
        <v>41</v>
      </c>
      <c r="C93" s="28">
        <v>0</v>
      </c>
      <c r="D93" s="20">
        <v>0</v>
      </c>
      <c r="E93" s="20">
        <v>0</v>
      </c>
      <c r="F93" s="24">
        <v>0</v>
      </c>
      <c r="G93" s="28">
        <f>SUM(C93:F93)</f>
        <v>0</v>
      </c>
    </row>
    <row r="94" spans="2:7" x14ac:dyDescent="0.25">
      <c r="B94" s="14" t="s">
        <v>42</v>
      </c>
      <c r="C94" s="28">
        <v>0</v>
      </c>
      <c r="D94" s="20">
        <v>0</v>
      </c>
      <c r="E94" s="20">
        <v>0</v>
      </c>
      <c r="F94" s="24">
        <v>0</v>
      </c>
      <c r="G94" s="28">
        <f>SUM(C94:F94)</f>
        <v>0</v>
      </c>
    </row>
    <row r="95" spans="2:7" x14ac:dyDescent="0.25">
      <c r="B95" s="14" t="s">
        <v>43</v>
      </c>
      <c r="C95" s="29">
        <v>0</v>
      </c>
      <c r="D95" s="20">
        <v>0</v>
      </c>
      <c r="E95" s="20">
        <v>0</v>
      </c>
      <c r="F95" s="24">
        <v>0</v>
      </c>
      <c r="G95" s="28">
        <f>AVERAGE(C95:F95)</f>
        <v>0</v>
      </c>
    </row>
    <row r="96" spans="2:7" x14ac:dyDescent="0.25">
      <c r="B96" s="14" t="s">
        <v>44</v>
      </c>
      <c r="C96" s="33">
        <v>12</v>
      </c>
      <c r="D96" s="20">
        <v>0</v>
      </c>
      <c r="E96" s="33">
        <v>0</v>
      </c>
      <c r="F96" s="24">
        <v>7</v>
      </c>
      <c r="G96" s="28">
        <f>SUM(C96:F96)</f>
        <v>19</v>
      </c>
    </row>
    <row r="97" spans="2:8" x14ac:dyDescent="0.25">
      <c r="B97" s="14" t="s">
        <v>115</v>
      </c>
      <c r="C97" s="33">
        <v>182.30436599999999</v>
      </c>
      <c r="D97" s="20">
        <v>0</v>
      </c>
      <c r="E97" s="33">
        <v>0</v>
      </c>
      <c r="F97" s="24">
        <v>89.880740000000003</v>
      </c>
      <c r="G97" s="11">
        <f>SUM(C97:F97)</f>
        <v>272.18510600000002</v>
      </c>
    </row>
    <row r="98" spans="2:8" x14ac:dyDescent="0.25">
      <c r="B98" s="82" t="s">
        <v>49</v>
      </c>
      <c r="C98" s="83"/>
      <c r="D98" s="83"/>
      <c r="E98" s="83"/>
      <c r="F98" s="83"/>
      <c r="G98" s="84"/>
    </row>
    <row r="99" spans="2:8" x14ac:dyDescent="0.25">
      <c r="B99" s="18" t="s">
        <v>41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42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43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44</v>
      </c>
      <c r="C102" s="19">
        <f>+C96+C84</f>
        <v>1065</v>
      </c>
      <c r="D102" s="19">
        <v>129</v>
      </c>
      <c r="E102" s="19">
        <f>+E84</f>
        <v>6</v>
      </c>
      <c r="F102" s="27">
        <v>0</v>
      </c>
      <c r="G102" s="19">
        <f>SUM(C102:F102)</f>
        <v>1200</v>
      </c>
    </row>
    <row r="103" spans="2:8" x14ac:dyDescent="0.25">
      <c r="B103" s="18" t="s">
        <v>115</v>
      </c>
      <c r="C103" s="19">
        <f>+C97+C85</f>
        <v>21402.595924000001</v>
      </c>
      <c r="D103" s="19">
        <v>1506</v>
      </c>
      <c r="E103" s="19">
        <f>+E85</f>
        <v>75</v>
      </c>
      <c r="F103" s="22">
        <v>0</v>
      </c>
      <c r="G103" s="22">
        <f>SUM(C103:F103)</f>
        <v>22983.595924000001</v>
      </c>
    </row>
    <row r="104" spans="2:8" x14ac:dyDescent="0.25">
      <c r="B104" s="69"/>
      <c r="C104" s="69"/>
      <c r="D104" s="69"/>
      <c r="E104" s="69"/>
      <c r="F104" s="69"/>
      <c r="G104" s="69"/>
      <c r="H104" s="69"/>
    </row>
    <row r="105" spans="2:8" x14ac:dyDescent="0.25">
      <c r="B105" s="68" t="s">
        <v>50</v>
      </c>
      <c r="C105" s="68"/>
      <c r="D105" s="68"/>
      <c r="E105" s="68"/>
      <c r="F105" s="68"/>
      <c r="G105" s="68"/>
    </row>
    <row r="106" spans="2:8" x14ac:dyDescent="0.25">
      <c r="B106" s="73" t="s">
        <v>51</v>
      </c>
      <c r="C106" s="73"/>
      <c r="D106" s="73"/>
      <c r="E106" s="73"/>
      <c r="F106" s="73"/>
      <c r="G106" s="73"/>
    </row>
    <row r="107" spans="2:8" x14ac:dyDescent="0.25">
      <c r="B107" s="14" t="s">
        <v>52</v>
      </c>
      <c r="C107" s="38">
        <v>1.8047775252425449</v>
      </c>
      <c r="D107" s="13">
        <v>2.864519999999982</v>
      </c>
      <c r="E107" s="31">
        <v>2.4</v>
      </c>
      <c r="F107" s="32">
        <v>2.39</v>
      </c>
      <c r="G107" s="13">
        <f>AVERAGE(C107:F107)</f>
        <v>2.364824381310632</v>
      </c>
    </row>
    <row r="108" spans="2:8" x14ac:dyDescent="0.25">
      <c r="B108" s="14" t="s">
        <v>53</v>
      </c>
      <c r="C108" s="38">
        <v>1.7267494158880126</v>
      </c>
      <c r="D108" s="13">
        <v>2.69507559395247</v>
      </c>
      <c r="E108" s="32">
        <v>2.37</v>
      </c>
      <c r="F108" s="32">
        <v>2.39</v>
      </c>
      <c r="G108" s="13">
        <f>AVERAGE(C108:F108)</f>
        <v>2.2954562524601205</v>
      </c>
    </row>
    <row r="109" spans="2:8" x14ac:dyDescent="0.25">
      <c r="B109" s="14" t="s">
        <v>54</v>
      </c>
      <c r="C109" s="38">
        <v>1.6156126108059807</v>
      </c>
      <c r="D109" s="13">
        <v>2.5618907103825048</v>
      </c>
      <c r="E109" s="31">
        <v>2.46</v>
      </c>
      <c r="F109" s="32">
        <v>2.4700000000000002</v>
      </c>
      <c r="G109" s="13">
        <f>AVERAGE(C109:F109)</f>
        <v>2.2768758302971213</v>
      </c>
    </row>
    <row r="110" spans="2:8" x14ac:dyDescent="0.25">
      <c r="B110" s="73" t="s">
        <v>55</v>
      </c>
      <c r="C110" s="73"/>
      <c r="D110" s="73"/>
      <c r="E110" s="73"/>
      <c r="F110" s="73"/>
      <c r="G110" s="73"/>
    </row>
    <row r="111" spans="2:8" x14ac:dyDescent="0.25">
      <c r="B111" s="14" t="s">
        <v>52</v>
      </c>
      <c r="C111" s="13">
        <v>1.1199999999999997</v>
      </c>
      <c r="D111" s="13">
        <v>1.9842857142857142</v>
      </c>
      <c r="E111" s="31">
        <v>1.59</v>
      </c>
      <c r="F111" s="31">
        <v>0.99</v>
      </c>
      <c r="G111" s="13">
        <f>AVERAGE(C111:F111)</f>
        <v>1.4210714285714285</v>
      </c>
    </row>
    <row r="112" spans="2:8" x14ac:dyDescent="0.25">
      <c r="B112" s="14" t="s">
        <v>53</v>
      </c>
      <c r="C112" s="13">
        <v>1.1800000000000055</v>
      </c>
      <c r="D112" s="13">
        <v>1.9980000000000007</v>
      </c>
      <c r="E112" s="31">
        <v>1.71</v>
      </c>
      <c r="F112" s="31">
        <v>1.59</v>
      </c>
      <c r="G112" s="13">
        <f>AVERAGE(C112:F112)</f>
        <v>1.6195000000000015</v>
      </c>
    </row>
    <row r="113" spans="2:9" x14ac:dyDescent="0.25">
      <c r="B113" s="14" t="s">
        <v>54</v>
      </c>
      <c r="C113" s="13">
        <v>1.2296313364055373</v>
      </c>
      <c r="D113" s="13">
        <v>2.0097628458497954</v>
      </c>
      <c r="E113" s="31">
        <v>1.89</v>
      </c>
      <c r="F113" s="13">
        <v>1.9842857142857142</v>
      </c>
      <c r="G113" s="13">
        <f>AVERAGE(C113:F113)</f>
        <v>1.7784199741352615</v>
      </c>
    </row>
    <row r="114" spans="2:9" x14ac:dyDescent="0.25">
      <c r="B114" s="69"/>
      <c r="C114" s="69"/>
      <c r="D114" s="69"/>
      <c r="E114" s="69"/>
      <c r="F114" s="69"/>
      <c r="G114" s="69"/>
      <c r="H114" s="69"/>
      <c r="I114" s="69"/>
    </row>
    <row r="115" spans="2:9" x14ac:dyDescent="0.25">
      <c r="B115" s="73" t="s">
        <v>56</v>
      </c>
      <c r="C115" s="73"/>
      <c r="D115" s="73"/>
      <c r="E115" s="73"/>
      <c r="F115" s="73"/>
      <c r="G115" s="73"/>
    </row>
    <row r="116" spans="2:9" x14ac:dyDescent="0.25">
      <c r="B116" s="14" t="s">
        <v>52</v>
      </c>
      <c r="C116" s="13">
        <v>1.2818311036789105</v>
      </c>
      <c r="D116" s="13">
        <v>1.9194871794871777</v>
      </c>
      <c r="E116" s="32">
        <v>1.74</v>
      </c>
      <c r="F116" s="32">
        <v>1.77</v>
      </c>
      <c r="G116" s="13">
        <f>AVERAGE(C116:F116)</f>
        <v>1.6778295707915221</v>
      </c>
    </row>
    <row r="117" spans="2:9" x14ac:dyDescent="0.25">
      <c r="B117" s="14" t="s">
        <v>53</v>
      </c>
      <c r="C117" s="13">
        <v>1.3687840290381406</v>
      </c>
      <c r="D117" s="13">
        <v>1.9223783783783743</v>
      </c>
      <c r="E117" s="32">
        <v>1.74</v>
      </c>
      <c r="F117" s="32">
        <v>1.77</v>
      </c>
      <c r="G117" s="13">
        <f>AVERAGE(C117:F117)</f>
        <v>1.7002906018541286</v>
      </c>
    </row>
    <row r="118" spans="2:9" x14ac:dyDescent="0.25">
      <c r="B118" s="14" t="s">
        <v>54</v>
      </c>
      <c r="C118" s="13">
        <v>1.4264749003049579</v>
      </c>
      <c r="D118" s="13">
        <v>1.9189945011783787</v>
      </c>
      <c r="E118" s="32">
        <v>1.78</v>
      </c>
      <c r="F118" s="32">
        <v>1.79</v>
      </c>
      <c r="G118" s="13">
        <f>AVERAGE(C118:F118)</f>
        <v>1.7288673503708343</v>
      </c>
    </row>
    <row r="119" spans="2:9" x14ac:dyDescent="0.25">
      <c r="B119" s="70" t="s">
        <v>57</v>
      </c>
      <c r="C119" s="71"/>
      <c r="D119" s="71"/>
      <c r="E119" s="71"/>
      <c r="F119" s="71"/>
      <c r="G119" s="72"/>
    </row>
    <row r="120" spans="2:9" x14ac:dyDescent="0.25">
      <c r="B120" s="14" t="s">
        <v>52</v>
      </c>
      <c r="C120" s="13">
        <v>0</v>
      </c>
      <c r="D120" s="13">
        <v>1.3562499999999997</v>
      </c>
      <c r="E120" s="31">
        <v>0</v>
      </c>
      <c r="F120" s="31">
        <v>0.98</v>
      </c>
      <c r="G120" s="13">
        <f>AVERAGE(C120:F120)</f>
        <v>0.58406249999999993</v>
      </c>
    </row>
    <row r="121" spans="2:9" x14ac:dyDescent="0.25">
      <c r="B121" s="14" t="s">
        <v>53</v>
      </c>
      <c r="C121" s="13">
        <v>1.1499999999999999</v>
      </c>
      <c r="D121" s="13">
        <v>1.3562499999999997</v>
      </c>
      <c r="E121" s="31">
        <v>0</v>
      </c>
      <c r="F121" s="13">
        <v>1.34</v>
      </c>
      <c r="G121" s="13">
        <f>AVERAGE(C121:F121)</f>
        <v>0.96156249999999988</v>
      </c>
    </row>
    <row r="122" spans="2:9" x14ac:dyDescent="0.25">
      <c r="B122" s="14" t="s">
        <v>54</v>
      </c>
      <c r="C122" s="13">
        <v>1.1977272727272723</v>
      </c>
      <c r="D122" s="13">
        <v>1.3562499999999997</v>
      </c>
      <c r="E122" s="31">
        <v>1.32</v>
      </c>
      <c r="F122" s="13">
        <v>1.29</v>
      </c>
      <c r="G122" s="13">
        <f>AVERAGE(C122:F122)</f>
        <v>1.290994318181818</v>
      </c>
    </row>
    <row r="123" spans="2:9" x14ac:dyDescent="0.25">
      <c r="B123" s="69"/>
      <c r="C123" s="69"/>
      <c r="D123" s="69"/>
      <c r="E123" s="69"/>
      <c r="F123" s="69"/>
      <c r="G123" s="69"/>
      <c r="H123" s="69"/>
    </row>
    <row r="124" spans="2:9" x14ac:dyDescent="0.25">
      <c r="B124" s="74" t="s">
        <v>58</v>
      </c>
      <c r="C124" s="75"/>
      <c r="D124" s="75"/>
      <c r="E124" s="75"/>
      <c r="F124" s="75"/>
      <c r="G124" s="76"/>
    </row>
    <row r="125" spans="2:9" x14ac:dyDescent="0.25">
      <c r="B125" s="2" t="s">
        <v>59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4" t="s">
        <v>60</v>
      </c>
      <c r="C126" s="75"/>
      <c r="D126" s="75"/>
      <c r="E126" s="75"/>
      <c r="F126" s="75"/>
      <c r="G126" s="76"/>
    </row>
    <row r="127" spans="2:9" x14ac:dyDescent="0.25">
      <c r="B127" s="3" t="s">
        <v>61</v>
      </c>
      <c r="C127" s="39">
        <v>1.48</v>
      </c>
      <c r="D127" s="39">
        <v>2.04020967169726</v>
      </c>
      <c r="E127" s="34">
        <v>1.8837440000000001</v>
      </c>
      <c r="F127" s="4">
        <v>0</v>
      </c>
      <c r="G127" s="11">
        <f>AVERAGE(C127:E127)</f>
        <v>1.8013178905657534</v>
      </c>
    </row>
    <row r="128" spans="2:9" x14ac:dyDescent="0.25">
      <c r="B128" s="81"/>
      <c r="C128" s="81"/>
      <c r="D128" s="81"/>
      <c r="E128" s="81"/>
      <c r="F128" s="81"/>
      <c r="G128" s="81"/>
      <c r="H128" s="81"/>
    </row>
    <row r="129" spans="2:9" x14ac:dyDescent="0.25">
      <c r="B129" s="68" t="s">
        <v>62</v>
      </c>
      <c r="C129" s="68"/>
      <c r="D129" s="68"/>
      <c r="E129" s="68"/>
      <c r="F129" s="68"/>
      <c r="G129" s="68"/>
    </row>
    <row r="130" spans="2:9" x14ac:dyDescent="0.25">
      <c r="B130" s="14" t="s">
        <v>63</v>
      </c>
      <c r="C130" s="28">
        <v>281925</v>
      </c>
      <c r="D130" s="28">
        <v>4413</v>
      </c>
      <c r="E130" s="28">
        <v>8599</v>
      </c>
      <c r="F130" s="28">
        <v>1015</v>
      </c>
      <c r="G130" s="28">
        <f>SUM(C130:F130)</f>
        <v>295952</v>
      </c>
    </row>
    <row r="131" spans="2:9" x14ac:dyDescent="0.25">
      <c r="B131" s="14" t="s">
        <v>64</v>
      </c>
      <c r="C131" s="28">
        <v>193704.887801</v>
      </c>
      <c r="D131" s="28">
        <v>4028.5742599999999</v>
      </c>
      <c r="E131" s="28">
        <v>1186</v>
      </c>
      <c r="F131" s="28">
        <v>1002.5617590000001</v>
      </c>
      <c r="G131" s="11">
        <f>SUM(C131:F131)</f>
        <v>199922.02382</v>
      </c>
    </row>
    <row r="132" spans="2:9" x14ac:dyDescent="0.25">
      <c r="B132" s="69"/>
      <c r="C132" s="69"/>
      <c r="D132" s="69"/>
      <c r="E132" s="69"/>
      <c r="F132" s="69"/>
      <c r="G132" s="69"/>
      <c r="H132" s="69"/>
    </row>
    <row r="133" spans="2:9" x14ac:dyDescent="0.25">
      <c r="B133" s="68" t="s">
        <v>65</v>
      </c>
      <c r="C133" s="68"/>
      <c r="D133" s="68"/>
      <c r="E133" s="68"/>
      <c r="F133" s="68"/>
      <c r="G133" s="68"/>
    </row>
    <row r="134" spans="2:9" x14ac:dyDescent="0.25">
      <c r="B134" s="14" t="s">
        <v>66</v>
      </c>
      <c r="C134" s="28">
        <v>594470</v>
      </c>
      <c r="D134" s="28">
        <v>78172</v>
      </c>
      <c r="E134" s="28">
        <f>93301+21083</f>
        <v>114384</v>
      </c>
      <c r="F134" s="28">
        <v>290470</v>
      </c>
      <c r="G134" s="28">
        <f>SUM(C134:F134)</f>
        <v>1077496</v>
      </c>
    </row>
    <row r="135" spans="2:9" x14ac:dyDescent="0.25">
      <c r="B135" s="69"/>
      <c r="C135" s="69"/>
      <c r="D135" s="69"/>
      <c r="E135" s="69"/>
      <c r="F135" s="69"/>
      <c r="G135" s="69"/>
      <c r="H135" s="69"/>
    </row>
    <row r="136" spans="2:9" ht="21" x14ac:dyDescent="0.35">
      <c r="B136" s="77" t="s">
        <v>67</v>
      </c>
      <c r="C136" s="77"/>
      <c r="D136" s="77"/>
      <c r="E136" s="77"/>
      <c r="F136" s="77"/>
      <c r="G136" s="77"/>
    </row>
    <row r="137" spans="2:9" x14ac:dyDescent="0.25">
      <c r="B137" s="68" t="s">
        <v>68</v>
      </c>
      <c r="C137" s="68"/>
      <c r="D137" s="68"/>
      <c r="E137" s="68"/>
      <c r="F137" s="68"/>
      <c r="G137" s="68"/>
    </row>
    <row r="138" spans="2:9" x14ac:dyDescent="0.25">
      <c r="B138" s="14" t="s">
        <v>69</v>
      </c>
      <c r="C138" s="28">
        <v>0</v>
      </c>
      <c r="D138" s="28">
        <v>5016</v>
      </c>
      <c r="E138" s="28">
        <v>0</v>
      </c>
      <c r="F138" s="28">
        <v>15634</v>
      </c>
      <c r="G138" s="28">
        <f>SUM(C138:F138)</f>
        <v>20650</v>
      </c>
      <c r="H138" s="7"/>
      <c r="I138" s="7"/>
    </row>
    <row r="139" spans="2:9" x14ac:dyDescent="0.25">
      <c r="B139" s="14" t="s">
        <v>70</v>
      </c>
      <c r="C139" s="28">
        <v>0</v>
      </c>
      <c r="D139" s="28">
        <v>5</v>
      </c>
      <c r="E139" s="28">
        <v>0</v>
      </c>
      <c r="F139" s="28">
        <v>154</v>
      </c>
      <c r="G139" s="28">
        <f>SUM(C139:F139)</f>
        <v>159</v>
      </c>
      <c r="H139" s="7"/>
      <c r="I139" s="7"/>
    </row>
    <row r="140" spans="2:9" x14ac:dyDescent="0.25">
      <c r="B140" s="69"/>
      <c r="C140" s="69"/>
      <c r="D140" s="69"/>
      <c r="E140" s="69"/>
      <c r="F140" s="69"/>
      <c r="G140" s="69"/>
      <c r="H140" s="69"/>
      <c r="I140" s="7"/>
    </row>
    <row r="141" spans="2:9" x14ac:dyDescent="0.25">
      <c r="B141" s="69"/>
      <c r="C141" s="69"/>
      <c r="D141" s="69"/>
      <c r="E141" s="69"/>
      <c r="F141" s="69"/>
      <c r="G141" s="69"/>
      <c r="H141" s="69"/>
    </row>
    <row r="142" spans="2:9" ht="21" x14ac:dyDescent="0.35">
      <c r="B142" s="78" t="s">
        <v>71</v>
      </c>
      <c r="C142" s="79"/>
      <c r="D142" s="79"/>
      <c r="E142" s="79"/>
      <c r="F142" s="79"/>
      <c r="G142" s="80"/>
    </row>
    <row r="143" spans="2:9" x14ac:dyDescent="0.25">
      <c r="B143" s="74" t="s">
        <v>72</v>
      </c>
      <c r="C143" s="75"/>
      <c r="D143" s="75"/>
      <c r="E143" s="75"/>
      <c r="F143" s="75"/>
      <c r="G143" s="76"/>
    </row>
    <row r="144" spans="2:9" x14ac:dyDescent="0.25">
      <c r="B144" s="69"/>
      <c r="C144" s="69"/>
      <c r="D144" s="69"/>
      <c r="E144" s="69"/>
      <c r="F144" s="69"/>
      <c r="G144" s="69"/>
      <c r="H144" s="69"/>
    </row>
    <row r="145" spans="2:8" x14ac:dyDescent="0.25">
      <c r="B145" s="73" t="s">
        <v>73</v>
      </c>
      <c r="C145" s="73"/>
      <c r="D145" s="73"/>
      <c r="E145" s="73"/>
      <c r="F145" s="73"/>
      <c r="G145" s="73"/>
    </row>
    <row r="146" spans="2:8" x14ac:dyDescent="0.25">
      <c r="B146" s="14" t="s">
        <v>74</v>
      </c>
      <c r="C146" s="28"/>
      <c r="D146" s="28">
        <v>586</v>
      </c>
      <c r="E146" s="36">
        <v>0</v>
      </c>
      <c r="F146" s="1">
        <v>72</v>
      </c>
      <c r="G146" s="28">
        <f>SUM(C146:F146)</f>
        <v>658</v>
      </c>
    </row>
    <row r="147" spans="2:8" x14ac:dyDescent="0.25">
      <c r="B147" s="14" t="s">
        <v>75</v>
      </c>
      <c r="C147" s="28"/>
      <c r="D147" s="28">
        <v>12.842000000000001</v>
      </c>
      <c r="E147" s="36">
        <v>0</v>
      </c>
      <c r="F147" s="30">
        <v>0.94974999999999998</v>
      </c>
      <c r="G147" s="11">
        <f>SUM(C147:F147)</f>
        <v>13.79175</v>
      </c>
    </row>
    <row r="148" spans="2:8" x14ac:dyDescent="0.25">
      <c r="B148" s="69"/>
      <c r="C148" s="69"/>
      <c r="D148" s="69"/>
      <c r="E148" s="69"/>
      <c r="F148" s="69"/>
      <c r="G148" s="69"/>
      <c r="H148" s="69"/>
    </row>
    <row r="149" spans="2:8" x14ac:dyDescent="0.25">
      <c r="B149" s="73" t="s">
        <v>76</v>
      </c>
      <c r="C149" s="73"/>
      <c r="D149" s="73"/>
      <c r="E149" s="73"/>
      <c r="F149" s="73"/>
      <c r="G149" s="73"/>
    </row>
    <row r="150" spans="2:8" x14ac:dyDescent="0.25">
      <c r="B150" s="14" t="s">
        <v>77</v>
      </c>
      <c r="C150" s="28">
        <v>0</v>
      </c>
      <c r="D150" s="28">
        <v>8</v>
      </c>
      <c r="E150" s="28">
        <v>103</v>
      </c>
      <c r="F150" s="28">
        <v>0</v>
      </c>
      <c r="G150" s="28">
        <f>SUM(C150:F150)</f>
        <v>111</v>
      </c>
      <c r="H150"/>
    </row>
    <row r="151" spans="2:8" x14ac:dyDescent="0.25">
      <c r="B151" s="14" t="s">
        <v>78</v>
      </c>
      <c r="C151" s="28">
        <v>0</v>
      </c>
      <c r="D151" s="28">
        <v>0.31</v>
      </c>
      <c r="E151" s="28">
        <v>2.032</v>
      </c>
      <c r="F151" s="28"/>
      <c r="G151" s="11">
        <f>SUM(C151:F151)</f>
        <v>2.3420000000000001</v>
      </c>
      <c r="H151"/>
    </row>
    <row r="152" spans="2:8" x14ac:dyDescent="0.25">
      <c r="B152" s="69"/>
      <c r="C152" s="69"/>
      <c r="D152" s="69"/>
      <c r="E152" s="69"/>
      <c r="F152" s="69"/>
      <c r="G152" s="69"/>
      <c r="H152" s="69"/>
    </row>
    <row r="153" spans="2:8" x14ac:dyDescent="0.25">
      <c r="B153" s="73" t="s">
        <v>79</v>
      </c>
      <c r="C153" s="73"/>
      <c r="D153" s="73"/>
      <c r="E153" s="73"/>
      <c r="F153" s="73"/>
      <c r="G153" s="73"/>
    </row>
    <row r="154" spans="2:8" x14ac:dyDescent="0.25">
      <c r="B154" s="14" t="s">
        <v>80</v>
      </c>
      <c r="C154" s="14">
        <v>0</v>
      </c>
      <c r="D154" s="28">
        <v>110</v>
      </c>
      <c r="E154" s="36">
        <v>0</v>
      </c>
      <c r="F154" s="35">
        <v>0</v>
      </c>
      <c r="G154" s="28">
        <f>SUM(C154:F154)</f>
        <v>110</v>
      </c>
      <c r="H154"/>
    </row>
    <row r="155" spans="2:8" x14ac:dyDescent="0.25">
      <c r="B155" s="14" t="s">
        <v>81</v>
      </c>
      <c r="C155" s="11">
        <v>0</v>
      </c>
      <c r="D155" s="28">
        <v>1.37</v>
      </c>
      <c r="E155" s="36">
        <v>0</v>
      </c>
      <c r="F155" s="35">
        <v>0</v>
      </c>
      <c r="G155" s="11">
        <f>SUM(C155:F155)</f>
        <v>1.37</v>
      </c>
      <c r="H155"/>
    </row>
    <row r="156" spans="2:8" x14ac:dyDescent="0.25">
      <c r="B156" s="69"/>
      <c r="C156" s="69"/>
      <c r="D156" s="69"/>
      <c r="E156" s="69"/>
      <c r="F156" s="69"/>
      <c r="G156" s="69"/>
      <c r="H156" s="69"/>
    </row>
    <row r="157" spans="2:8" x14ac:dyDescent="0.25">
      <c r="B157" s="70" t="s">
        <v>82</v>
      </c>
      <c r="C157" s="71"/>
      <c r="D157" s="71"/>
      <c r="E157" s="71"/>
      <c r="F157" s="71"/>
      <c r="G157" s="72"/>
    </row>
    <row r="158" spans="2:8" x14ac:dyDescent="0.25">
      <c r="B158" s="18" t="s">
        <v>83</v>
      </c>
      <c r="C158" s="19">
        <v>0</v>
      </c>
      <c r="D158" s="19">
        <v>704</v>
      </c>
      <c r="E158" s="19">
        <v>103</v>
      </c>
      <c r="F158" s="19">
        <f>F146+F154</f>
        <v>72</v>
      </c>
      <c r="G158" s="19">
        <f>SUM(C158:F158)</f>
        <v>879</v>
      </c>
    </row>
    <row r="159" spans="2:8" x14ac:dyDescent="0.25">
      <c r="B159" s="18" t="s">
        <v>84</v>
      </c>
      <c r="C159" s="19">
        <v>0</v>
      </c>
      <c r="D159" s="19">
        <v>14.522000000000002</v>
      </c>
      <c r="E159" s="19">
        <v>2.032</v>
      </c>
      <c r="F159" s="19">
        <f>F147+F155</f>
        <v>0.94974999999999998</v>
      </c>
      <c r="G159" s="22">
        <f>SUM(C159:F159)</f>
        <v>17.503750000000004</v>
      </c>
    </row>
    <row r="160" spans="2:8" x14ac:dyDescent="0.25">
      <c r="B160" s="69"/>
      <c r="C160" s="69"/>
      <c r="D160" s="69"/>
      <c r="E160" s="69"/>
      <c r="F160" s="69"/>
      <c r="G160" s="69"/>
      <c r="H160" s="69"/>
    </row>
    <row r="161" spans="2:8" x14ac:dyDescent="0.25">
      <c r="B161" s="68" t="s">
        <v>85</v>
      </c>
      <c r="C161" s="68"/>
      <c r="D161" s="68"/>
      <c r="E161" s="68"/>
      <c r="F161" s="68"/>
      <c r="G161" s="68"/>
    </row>
    <row r="162" spans="2:8" x14ac:dyDescent="0.25">
      <c r="B162" s="14" t="s">
        <v>80</v>
      </c>
      <c r="C162" s="28">
        <v>2933</v>
      </c>
      <c r="D162" s="28">
        <v>37180</v>
      </c>
      <c r="E162" s="28">
        <v>3462</v>
      </c>
      <c r="F162" s="28">
        <v>17625</v>
      </c>
      <c r="G162" s="28">
        <f>SUM(C162:F162)</f>
        <v>61200</v>
      </c>
    </row>
    <row r="163" spans="2:8" x14ac:dyDescent="0.25">
      <c r="B163" s="14" t="s">
        <v>81</v>
      </c>
      <c r="C163" s="28">
        <f>72738520/1000000</f>
        <v>72.738519999999994</v>
      </c>
      <c r="D163" s="28">
        <v>215.90951199999998</v>
      </c>
      <c r="E163" s="28">
        <v>53.347996999999999</v>
      </c>
      <c r="F163" s="28">
        <v>101.01860000000001</v>
      </c>
      <c r="G163" s="11">
        <f>SUM(C163:F163)</f>
        <v>443.01462899999996</v>
      </c>
    </row>
    <row r="164" spans="2:8" x14ac:dyDescent="0.25">
      <c r="B164" s="69"/>
      <c r="C164" s="69"/>
      <c r="D164" s="69"/>
      <c r="E164" s="69"/>
      <c r="F164" s="69"/>
      <c r="G164" s="69"/>
    </row>
    <row r="165" spans="2:8" x14ac:dyDescent="0.25">
      <c r="B165" s="74" t="s">
        <v>86</v>
      </c>
      <c r="C165" s="75"/>
      <c r="D165" s="75"/>
      <c r="E165" s="75"/>
      <c r="F165" s="75"/>
      <c r="G165" s="76"/>
    </row>
    <row r="166" spans="2:8" x14ac:dyDescent="0.25">
      <c r="B166" s="70" t="s">
        <v>87</v>
      </c>
      <c r="C166" s="71"/>
      <c r="D166" s="71"/>
      <c r="E166" s="71"/>
      <c r="F166" s="71"/>
      <c r="G166" s="72"/>
    </row>
    <row r="167" spans="2:8" x14ac:dyDescent="0.25">
      <c r="B167" s="14" t="s">
        <v>88</v>
      </c>
      <c r="C167" s="28">
        <v>265</v>
      </c>
      <c r="D167" s="28">
        <v>2221</v>
      </c>
      <c r="E167" s="28">
        <v>483</v>
      </c>
      <c r="F167" s="14">
        <v>542</v>
      </c>
      <c r="G167" s="28">
        <f>SUM(C167:F167)</f>
        <v>3511</v>
      </c>
    </row>
    <row r="168" spans="2:8" x14ac:dyDescent="0.25">
      <c r="B168" s="14" t="s">
        <v>89</v>
      </c>
      <c r="C168" s="28">
        <f>6625000/1000000</f>
        <v>6.625</v>
      </c>
      <c r="D168" s="28">
        <v>49.883794999999999</v>
      </c>
      <c r="E168" s="28">
        <f>8035000/1000000</f>
        <v>8.0350000000000001</v>
      </c>
      <c r="F168" s="28">
        <v>20.420000000000002</v>
      </c>
      <c r="G168" s="11">
        <f>SUM(C168:F168)</f>
        <v>84.963795000000005</v>
      </c>
    </row>
    <row r="169" spans="2:8" x14ac:dyDescent="0.25">
      <c r="B169" s="69"/>
      <c r="C169" s="69"/>
      <c r="D169" s="69"/>
      <c r="E169" s="69"/>
      <c r="F169" s="69"/>
      <c r="G169" s="69"/>
    </row>
    <row r="170" spans="2:8" x14ac:dyDescent="0.25">
      <c r="B170" s="70" t="s">
        <v>90</v>
      </c>
      <c r="C170" s="71"/>
      <c r="D170" s="71"/>
      <c r="E170" s="71"/>
      <c r="F170" s="71"/>
      <c r="G170" s="72"/>
    </row>
    <row r="171" spans="2:8" x14ac:dyDescent="0.25">
      <c r="B171" s="14" t="s">
        <v>91</v>
      </c>
      <c r="C171" s="28">
        <v>1043</v>
      </c>
      <c r="D171" s="28">
        <v>447</v>
      </c>
      <c r="E171" s="28">
        <v>132</v>
      </c>
      <c r="F171" s="14">
        <v>262</v>
      </c>
      <c r="G171" s="28">
        <f>SUM(C171:F171)</f>
        <v>1884</v>
      </c>
    </row>
    <row r="172" spans="2:8" x14ac:dyDescent="0.25">
      <c r="B172" s="14" t="s">
        <v>89</v>
      </c>
      <c r="C172" s="28">
        <f>22946000/1000000</f>
        <v>22.946000000000002</v>
      </c>
      <c r="D172" s="28">
        <v>9.3870000000000005</v>
      </c>
      <c r="E172" s="28">
        <f>3300000/1000000</f>
        <v>3.3</v>
      </c>
      <c r="F172" s="28">
        <v>5.7649999999999997</v>
      </c>
      <c r="G172" s="11">
        <f>SUM(C172:F172)</f>
        <v>41.397999999999996</v>
      </c>
    </row>
    <row r="173" spans="2:8" x14ac:dyDescent="0.25">
      <c r="B173" s="69"/>
      <c r="C173" s="69"/>
      <c r="D173" s="69"/>
      <c r="E173" s="69"/>
      <c r="F173" s="69"/>
      <c r="G173" s="69"/>
      <c r="H173" s="69"/>
    </row>
    <row r="174" spans="2:8" x14ac:dyDescent="0.25">
      <c r="B174" s="70" t="s">
        <v>92</v>
      </c>
      <c r="C174" s="71"/>
      <c r="D174" s="71"/>
      <c r="E174" s="71"/>
      <c r="F174" s="71"/>
      <c r="G174" s="72"/>
    </row>
    <row r="175" spans="2:8" x14ac:dyDescent="0.25">
      <c r="B175" s="14" t="s">
        <v>91</v>
      </c>
      <c r="C175" s="28">
        <v>260</v>
      </c>
      <c r="D175" s="28">
        <v>266</v>
      </c>
      <c r="E175" s="28">
        <v>206</v>
      </c>
      <c r="F175" s="14">
        <v>37</v>
      </c>
      <c r="G175" s="28">
        <f>SUM(C175:F175)</f>
        <v>769</v>
      </c>
    </row>
    <row r="176" spans="2:8" x14ac:dyDescent="0.25">
      <c r="B176" s="14" t="s">
        <v>89</v>
      </c>
      <c r="C176" s="28">
        <f>18200000/1000000</f>
        <v>18.2</v>
      </c>
      <c r="D176" s="28">
        <v>27.81</v>
      </c>
      <c r="E176" s="28">
        <f>11758471/1000000</f>
        <v>11.758471</v>
      </c>
      <c r="F176" s="28">
        <v>3.79</v>
      </c>
      <c r="G176" s="11">
        <f>SUM(C176:F176)</f>
        <v>61.558470999999997</v>
      </c>
    </row>
    <row r="177" spans="2:8" x14ac:dyDescent="0.25">
      <c r="B177" s="69"/>
      <c r="C177" s="69"/>
      <c r="D177" s="69"/>
      <c r="E177" s="69"/>
      <c r="F177" s="69"/>
      <c r="G177" s="69"/>
      <c r="H177" s="69"/>
    </row>
    <row r="178" spans="2:8" x14ac:dyDescent="0.25">
      <c r="B178" s="70" t="s">
        <v>93</v>
      </c>
      <c r="C178" s="71"/>
      <c r="D178" s="71"/>
      <c r="E178" s="71"/>
      <c r="F178" s="71"/>
      <c r="G178" s="72"/>
    </row>
    <row r="179" spans="2:8" x14ac:dyDescent="0.25">
      <c r="B179" s="14" t="s">
        <v>91</v>
      </c>
      <c r="C179" s="28">
        <v>373</v>
      </c>
      <c r="D179" s="28">
        <v>166444</v>
      </c>
      <c r="E179" s="28">
        <v>0</v>
      </c>
      <c r="F179" s="28">
        <v>0</v>
      </c>
      <c r="G179" s="28">
        <f>SUM(C179:F179)</f>
        <v>166817</v>
      </c>
    </row>
    <row r="180" spans="2:8" x14ac:dyDescent="0.25">
      <c r="B180" s="14" t="s">
        <v>89</v>
      </c>
      <c r="C180" s="28">
        <f>11590000/1000000</f>
        <v>11.59</v>
      </c>
      <c r="D180" s="28">
        <v>2829.934524104207</v>
      </c>
      <c r="E180" s="28">
        <v>0</v>
      </c>
      <c r="F180" s="28">
        <v>0</v>
      </c>
      <c r="G180" s="11">
        <f>SUM(C180:F180)</f>
        <v>2841.5245241042071</v>
      </c>
    </row>
    <row r="181" spans="2:8" x14ac:dyDescent="0.25">
      <c r="B181" s="69"/>
      <c r="C181" s="69"/>
      <c r="D181" s="69"/>
      <c r="E181" s="69"/>
      <c r="F181" s="69"/>
      <c r="G181" s="69"/>
      <c r="H181" s="69"/>
    </row>
    <row r="182" spans="2:8" x14ac:dyDescent="0.25">
      <c r="B182" s="68" t="s">
        <v>94</v>
      </c>
      <c r="C182" s="68"/>
      <c r="D182" s="68"/>
      <c r="E182" s="68"/>
      <c r="F182" s="68"/>
      <c r="G182" s="68"/>
    </row>
    <row r="183" spans="2:8" x14ac:dyDescent="0.25">
      <c r="B183" s="18" t="s">
        <v>95</v>
      </c>
      <c r="C183" s="19">
        <f>+C179+C175+C171+C167</f>
        <v>1941</v>
      </c>
      <c r="D183" s="19">
        <v>169378</v>
      </c>
      <c r="E183" s="19">
        <v>821</v>
      </c>
      <c r="F183" s="19">
        <f>+F179+F175+F171+F167</f>
        <v>841</v>
      </c>
      <c r="G183" s="19">
        <f>SUM(C183:F183)</f>
        <v>172981</v>
      </c>
    </row>
    <row r="184" spans="2:8" x14ac:dyDescent="0.25">
      <c r="B184" s="18" t="s">
        <v>96</v>
      </c>
      <c r="C184" s="19">
        <f>+C180+C176+C172+C168</f>
        <v>59.361000000000004</v>
      </c>
      <c r="D184" s="19">
        <v>2917.0153191042068</v>
      </c>
      <c r="E184" s="19">
        <v>23.093471000000001</v>
      </c>
      <c r="F184" s="19">
        <f>+F180+F176+F172+F168</f>
        <v>29.975000000000001</v>
      </c>
      <c r="G184" s="22">
        <f>SUM(C184:F184)</f>
        <v>3029.4447901042067</v>
      </c>
    </row>
    <row r="185" spans="2:8" x14ac:dyDescent="0.25">
      <c r="B185" s="69"/>
      <c r="C185" s="69"/>
      <c r="D185" s="69"/>
      <c r="E185" s="69"/>
      <c r="F185" s="69"/>
      <c r="G185" s="69"/>
      <c r="H185" s="69"/>
    </row>
    <row r="186" spans="2:8" x14ac:dyDescent="0.25">
      <c r="B186" s="68" t="s">
        <v>97</v>
      </c>
      <c r="C186" s="68"/>
      <c r="D186" s="68"/>
      <c r="E186" s="68"/>
      <c r="F186" s="68"/>
      <c r="G186" s="68"/>
    </row>
    <row r="187" spans="2:8" x14ac:dyDescent="0.25">
      <c r="B187" s="14" t="s">
        <v>98</v>
      </c>
      <c r="C187" s="28">
        <v>2906</v>
      </c>
      <c r="D187" s="28">
        <v>382</v>
      </c>
      <c r="E187" s="28">
        <v>67</v>
      </c>
      <c r="F187" s="28">
        <v>18538</v>
      </c>
      <c r="G187" s="28">
        <f>SUM(C187:F187)</f>
        <v>21893</v>
      </c>
    </row>
    <row r="188" spans="2:8" x14ac:dyDescent="0.25">
      <c r="B188" s="14" t="s">
        <v>99</v>
      </c>
      <c r="C188" s="28">
        <f>28534932/1000000</f>
        <v>28.534932000000001</v>
      </c>
      <c r="D188" s="28">
        <v>49.071479999999994</v>
      </c>
      <c r="E188" s="28">
        <f>2740000/1000000</f>
        <v>2.74</v>
      </c>
      <c r="F188" s="28">
        <v>131.94335000000001</v>
      </c>
      <c r="G188" s="11">
        <f>SUM(C188:F188)</f>
        <v>212.289762</v>
      </c>
    </row>
    <row r="189" spans="2:8" x14ac:dyDescent="0.25">
      <c r="B189" s="69"/>
      <c r="C189" s="69"/>
      <c r="D189" s="69"/>
      <c r="E189" s="69"/>
      <c r="F189" s="69"/>
      <c r="G189" s="69"/>
      <c r="H189" s="69"/>
    </row>
    <row r="190" spans="2:8" x14ac:dyDescent="0.25">
      <c r="B190" s="68" t="s">
        <v>100</v>
      </c>
      <c r="C190" s="68"/>
      <c r="D190" s="68"/>
      <c r="E190" s="68"/>
      <c r="F190" s="68"/>
      <c r="G190" s="68"/>
    </row>
    <row r="191" spans="2:8" x14ac:dyDescent="0.25">
      <c r="B191" s="18" t="s">
        <v>101</v>
      </c>
      <c r="C191" s="19">
        <f>C187+C162+C183</f>
        <v>7780</v>
      </c>
      <c r="D191" s="19">
        <v>207644</v>
      </c>
      <c r="E191" s="19">
        <v>4453</v>
      </c>
      <c r="F191" s="19">
        <f>F158+F162+F183+F187</f>
        <v>37076</v>
      </c>
      <c r="G191" s="19">
        <f>SUM(C191:F191)</f>
        <v>256953</v>
      </c>
    </row>
    <row r="192" spans="2:8" x14ac:dyDescent="0.25">
      <c r="B192" s="18" t="s">
        <v>102</v>
      </c>
      <c r="C192" s="19">
        <f>C188+C163+C184</f>
        <v>160.63445200000001</v>
      </c>
      <c r="D192" s="19">
        <v>3196.518311104207</v>
      </c>
      <c r="E192" s="19">
        <v>81.213467999999992</v>
      </c>
      <c r="F192" s="19">
        <f>F159+F184+F163+F188</f>
        <v>263.88670000000002</v>
      </c>
      <c r="G192" s="22">
        <f>SUM(C192:F192)</f>
        <v>3702.2529311042072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49:G149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73:H173"/>
    <mergeCell ref="B152:H152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86:G186"/>
    <mergeCell ref="B189:H189"/>
    <mergeCell ref="B190:G190"/>
    <mergeCell ref="B174:G174"/>
    <mergeCell ref="B177:H177"/>
    <mergeCell ref="B178:G178"/>
    <mergeCell ref="B181:H181"/>
    <mergeCell ref="B182:G182"/>
    <mergeCell ref="B185:H18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D195"/>
  <sheetViews>
    <sheetView zoomScaleNormal="100" workbookViewId="0">
      <selection activeCell="B3" sqref="B3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3" width="17.42578125" bestFit="1" customWidth="1"/>
    <col min="4" max="4" width="16.42578125" bestFit="1" customWidth="1"/>
    <col min="5" max="5" width="16.28515625" bestFit="1" customWidth="1"/>
    <col min="6" max="6" width="18.140625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7" t="s">
        <v>1</v>
      </c>
      <c r="D2" s="88"/>
      <c r="E2" s="88"/>
      <c r="F2" s="88"/>
      <c r="G2" s="89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8" t="s">
        <v>7</v>
      </c>
      <c r="C4" s="79"/>
      <c r="D4" s="79"/>
      <c r="E4" s="79"/>
      <c r="F4" s="79"/>
      <c r="G4" s="80"/>
    </row>
    <row r="5" spans="1:7" x14ac:dyDescent="0.25">
      <c r="B5" s="74" t="s">
        <v>103</v>
      </c>
      <c r="C5" s="75"/>
      <c r="D5" s="75"/>
      <c r="E5" s="75"/>
      <c r="F5" s="75"/>
      <c r="G5" s="76"/>
    </row>
    <row r="6" spans="1:7" x14ac:dyDescent="0.25">
      <c r="B6" s="4" t="s">
        <v>104</v>
      </c>
      <c r="C6" s="12">
        <v>54992</v>
      </c>
      <c r="D6" s="12">
        <v>8216</v>
      </c>
      <c r="E6" s="12">
        <v>8959</v>
      </c>
      <c r="F6" s="12">
        <v>10398</v>
      </c>
      <c r="G6" s="12">
        <f>+F6+E6+D6+C6</f>
        <v>82565</v>
      </c>
    </row>
    <row r="7" spans="1:7" x14ac:dyDescent="0.25">
      <c r="B7" s="14" t="s">
        <v>105</v>
      </c>
      <c r="C7" s="12">
        <v>519</v>
      </c>
      <c r="D7" s="12">
        <v>223</v>
      </c>
      <c r="E7" s="12">
        <v>12</v>
      </c>
      <c r="F7" s="12">
        <v>144</v>
      </c>
      <c r="G7" s="12">
        <f>+F7+E7+D7+C7</f>
        <v>898</v>
      </c>
    </row>
    <row r="8" spans="1:7" x14ac:dyDescent="0.25">
      <c r="B8" s="18" t="s">
        <v>106</v>
      </c>
      <c r="C8" s="25">
        <v>55511</v>
      </c>
      <c r="D8" s="25">
        <v>8439</v>
      </c>
      <c r="E8" s="25">
        <f>SUM(E6:E7)</f>
        <v>8971</v>
      </c>
      <c r="F8" s="25">
        <v>10542</v>
      </c>
      <c r="G8" s="25">
        <f>+F8+E8+D8+C8</f>
        <v>83463</v>
      </c>
    </row>
    <row r="9" spans="1:7" x14ac:dyDescent="0.25">
      <c r="B9" s="69"/>
      <c r="C9" s="69"/>
      <c r="D9" s="69"/>
      <c r="E9" s="69"/>
      <c r="F9" s="69"/>
      <c r="G9" s="69"/>
    </row>
    <row r="10" spans="1:7" x14ac:dyDescent="0.25">
      <c r="B10" s="74" t="s">
        <v>8</v>
      </c>
      <c r="C10" s="75"/>
      <c r="D10" s="75"/>
      <c r="E10" s="75"/>
      <c r="F10" s="75"/>
      <c r="G10" s="76"/>
    </row>
    <row r="11" spans="1:7" x14ac:dyDescent="0.25">
      <c r="B11" s="70" t="s">
        <v>9</v>
      </c>
      <c r="C11" s="71"/>
      <c r="D11" s="71"/>
      <c r="E11" s="71"/>
      <c r="F11" s="71"/>
      <c r="G11" s="72"/>
    </row>
    <row r="12" spans="1:7" x14ac:dyDescent="0.25">
      <c r="B12" s="16" t="s">
        <v>10</v>
      </c>
      <c r="C12" s="12">
        <v>917305</v>
      </c>
      <c r="D12" s="12">
        <v>138696</v>
      </c>
      <c r="E12" s="60">
        <v>54940</v>
      </c>
      <c r="F12" s="12">
        <v>0</v>
      </c>
      <c r="G12" s="17">
        <f>SUM(C12:F12)</f>
        <v>1110941</v>
      </c>
    </row>
    <row r="13" spans="1:7" x14ac:dyDescent="0.25">
      <c r="B13" s="16" t="s">
        <v>11</v>
      </c>
      <c r="C13" s="12">
        <v>2277115</v>
      </c>
      <c r="D13" s="12">
        <v>526947</v>
      </c>
      <c r="E13" s="60">
        <v>228130</v>
      </c>
      <c r="F13" s="12">
        <v>0</v>
      </c>
      <c r="G13" s="17">
        <f>SUM(C13:F13)</f>
        <v>3032192</v>
      </c>
    </row>
    <row r="14" spans="1:7" x14ac:dyDescent="0.25">
      <c r="B14" s="18" t="s">
        <v>12</v>
      </c>
      <c r="C14" s="25">
        <v>3194420</v>
      </c>
      <c r="D14" s="25">
        <v>1010551</v>
      </c>
      <c r="E14" s="25">
        <v>283070</v>
      </c>
      <c r="F14" s="25">
        <v>136214</v>
      </c>
      <c r="G14" s="19">
        <f>SUM(C14:F14)</f>
        <v>4624255</v>
      </c>
    </row>
    <row r="15" spans="1:7" x14ac:dyDescent="0.25">
      <c r="B15" s="18" t="s">
        <v>13</v>
      </c>
      <c r="C15" s="25">
        <v>440210</v>
      </c>
      <c r="D15" s="25">
        <v>152652</v>
      </c>
      <c r="E15" s="25">
        <v>3060</v>
      </c>
      <c r="F15" s="25">
        <v>363382</v>
      </c>
      <c r="G15" s="19">
        <f>SUM(C15:F15)</f>
        <v>959304</v>
      </c>
    </row>
    <row r="16" spans="1:7" x14ac:dyDescent="0.25">
      <c r="B16" s="18" t="s">
        <v>14</v>
      </c>
      <c r="C16" s="25">
        <v>3634630</v>
      </c>
      <c r="D16" s="25">
        <v>1163203</v>
      </c>
      <c r="E16" s="25">
        <v>286130</v>
      </c>
      <c r="F16" s="25">
        <v>499596</v>
      </c>
      <c r="G16" s="19">
        <f>SUM(C16:F16)</f>
        <v>5583559</v>
      </c>
    </row>
    <row r="17" spans="2:8" x14ac:dyDescent="0.25">
      <c r="B17" s="69"/>
      <c r="C17" s="69"/>
      <c r="D17" s="69"/>
      <c r="E17" s="69"/>
      <c r="F17" s="69"/>
      <c r="G17" s="69"/>
    </row>
    <row r="18" spans="2:8" x14ac:dyDescent="0.25">
      <c r="B18" s="70" t="s">
        <v>15</v>
      </c>
      <c r="C18" s="71"/>
      <c r="D18" s="71"/>
      <c r="E18" s="71"/>
      <c r="F18" s="71"/>
      <c r="G18" s="72"/>
    </row>
    <row r="19" spans="2:8" x14ac:dyDescent="0.25">
      <c r="B19" s="14" t="s">
        <v>16</v>
      </c>
      <c r="C19" s="57">
        <v>3562</v>
      </c>
      <c r="D19" s="28">
        <v>4</v>
      </c>
      <c r="E19" s="17">
        <v>0</v>
      </c>
      <c r="F19" s="17">
        <v>0</v>
      </c>
      <c r="G19" s="17">
        <f>SUM(C19:F19)</f>
        <v>3566</v>
      </c>
    </row>
    <row r="20" spans="2:8" x14ac:dyDescent="0.25">
      <c r="B20" s="90"/>
      <c r="C20" s="90"/>
      <c r="D20" s="90"/>
      <c r="E20" s="90"/>
      <c r="F20" s="90"/>
      <c r="G20" s="90"/>
    </row>
    <row r="21" spans="2:8" x14ac:dyDescent="0.25">
      <c r="B21" s="18" t="s">
        <v>17</v>
      </c>
      <c r="C21" s="19">
        <f>+C19+C16</f>
        <v>3638192</v>
      </c>
      <c r="D21" s="19">
        <v>1163207</v>
      </c>
      <c r="E21" s="19">
        <f>+E19+E16</f>
        <v>286130</v>
      </c>
      <c r="F21" s="19">
        <f>F16</f>
        <v>499596</v>
      </c>
      <c r="G21" s="19">
        <f>SUM(C21:F21)</f>
        <v>5587125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18</v>
      </c>
      <c r="C23" s="9"/>
      <c r="D23" s="9"/>
      <c r="E23" s="9"/>
      <c r="F23" s="9"/>
      <c r="G23" s="10"/>
    </row>
    <row r="24" spans="2:8" x14ac:dyDescent="0.25">
      <c r="B24" s="18" t="s">
        <v>19</v>
      </c>
      <c r="C24" s="19">
        <v>401482</v>
      </c>
      <c r="D24" s="19">
        <v>197681</v>
      </c>
      <c r="E24" s="19">
        <v>132009</v>
      </c>
      <c r="F24" s="19">
        <v>672553</v>
      </c>
      <c r="G24" s="19">
        <f>SUM(C24:F24)</f>
        <v>1403725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20</v>
      </c>
      <c r="C26" s="9"/>
      <c r="D26" s="9"/>
      <c r="E26" s="9"/>
      <c r="F26" s="9"/>
      <c r="G26" s="10"/>
    </row>
    <row r="27" spans="2:8" x14ac:dyDescent="0.25">
      <c r="B27" s="18" t="s">
        <v>21</v>
      </c>
      <c r="C27" s="19">
        <f>+C24+C21</f>
        <v>4039674</v>
      </c>
      <c r="D27" s="19">
        <f>+D24+D21</f>
        <v>1360888</v>
      </c>
      <c r="E27" s="19">
        <f>+E21+E24</f>
        <v>418139</v>
      </c>
      <c r="F27" s="19">
        <f>+F24+F21</f>
        <v>1172149</v>
      </c>
      <c r="G27" s="19">
        <f>SUM(C27:F27)</f>
        <v>6990850</v>
      </c>
    </row>
    <row r="28" spans="2:8" x14ac:dyDescent="0.25">
      <c r="B28" s="69"/>
      <c r="C28" s="69"/>
      <c r="D28" s="69"/>
      <c r="E28" s="69"/>
      <c r="F28" s="69"/>
      <c r="G28" s="69"/>
      <c r="H28" s="69"/>
    </row>
    <row r="29" spans="2:8" x14ac:dyDescent="0.25">
      <c r="B29" s="74" t="s">
        <v>22</v>
      </c>
      <c r="C29" s="75"/>
      <c r="D29" s="75"/>
      <c r="E29" s="75"/>
      <c r="F29" s="75"/>
      <c r="G29" s="76"/>
    </row>
    <row r="30" spans="2:8" x14ac:dyDescent="0.25">
      <c r="B30" s="14" t="s">
        <v>23</v>
      </c>
      <c r="C30" s="28">
        <v>1209213</v>
      </c>
      <c r="D30" s="28">
        <v>131689</v>
      </c>
      <c r="E30" s="28">
        <v>92571</v>
      </c>
      <c r="F30" s="28">
        <v>208665</v>
      </c>
      <c r="G30" s="28">
        <f>SUM(C30:F30)</f>
        <v>1642138</v>
      </c>
    </row>
    <row r="31" spans="2:8" x14ac:dyDescent="0.25">
      <c r="B31" s="69"/>
      <c r="C31" s="69"/>
      <c r="D31" s="69"/>
      <c r="E31" s="69"/>
      <c r="F31" s="69"/>
      <c r="G31" s="69"/>
      <c r="H31" s="69"/>
    </row>
    <row r="32" spans="2:8" x14ac:dyDescent="0.25">
      <c r="B32" s="74" t="s">
        <v>107</v>
      </c>
      <c r="C32" s="75"/>
      <c r="D32" s="75"/>
      <c r="E32" s="75"/>
      <c r="F32" s="75"/>
      <c r="G32" s="76"/>
    </row>
    <row r="33" spans="2:9" x14ac:dyDescent="0.25">
      <c r="B33" s="14" t="s">
        <v>25</v>
      </c>
      <c r="C33" s="28">
        <v>3615494932520</v>
      </c>
      <c r="D33" s="28">
        <v>630439230207</v>
      </c>
      <c r="E33" s="28">
        <v>255297738746</v>
      </c>
      <c r="F33" s="28">
        <v>430751608885</v>
      </c>
      <c r="G33" s="28">
        <f>SUM(C33:F33)</f>
        <v>4931983510358</v>
      </c>
    </row>
    <row r="34" spans="2:9" x14ac:dyDescent="0.25">
      <c r="B34" s="14" t="s">
        <v>26</v>
      </c>
      <c r="C34" s="28">
        <v>152722639370</v>
      </c>
      <c r="D34" s="28">
        <v>65872459410</v>
      </c>
      <c r="E34" s="28">
        <v>36287846200</v>
      </c>
      <c r="F34" s="28">
        <v>190791374584</v>
      </c>
      <c r="G34" s="28">
        <f>SUM(C34:F34)</f>
        <v>445674319564</v>
      </c>
    </row>
    <row r="35" spans="2:9" x14ac:dyDescent="0.25">
      <c r="B35" s="46" t="s">
        <v>27</v>
      </c>
      <c r="C35" s="19">
        <v>3768217571890</v>
      </c>
      <c r="D35" s="19">
        <v>696311689617</v>
      </c>
      <c r="E35" s="19">
        <f>+E33+E34</f>
        <v>291585584946</v>
      </c>
      <c r="F35" s="19">
        <v>621542983469</v>
      </c>
      <c r="G35" s="47">
        <f>SUM(C35:F35)</f>
        <v>5377657829922</v>
      </c>
    </row>
    <row r="36" spans="2:9" x14ac:dyDescent="0.25">
      <c r="B36" s="85" t="s">
        <v>108</v>
      </c>
      <c r="C36" s="85"/>
      <c r="D36" s="85"/>
      <c r="E36" s="85"/>
      <c r="F36" s="85"/>
      <c r="G36" s="85"/>
      <c r="H36"/>
    </row>
    <row r="37" spans="2:9" x14ac:dyDescent="0.25">
      <c r="B37" s="45"/>
      <c r="C37" s="45"/>
      <c r="D37" s="45"/>
      <c r="E37" s="45"/>
      <c r="F37" s="45"/>
      <c r="G37" s="45"/>
      <c r="H37" s="45"/>
    </row>
    <row r="38" spans="2:9" ht="21" x14ac:dyDescent="0.35">
      <c r="B38" s="78" t="s">
        <v>28</v>
      </c>
      <c r="C38" s="79"/>
      <c r="D38" s="79"/>
      <c r="E38" s="79"/>
      <c r="F38" s="79"/>
      <c r="G38" s="80"/>
    </row>
    <row r="39" spans="2:9" x14ac:dyDescent="0.25">
      <c r="B39" s="74" t="s">
        <v>29</v>
      </c>
      <c r="C39" s="75"/>
      <c r="D39" s="75"/>
      <c r="E39" s="75"/>
      <c r="F39" s="75"/>
      <c r="G39" s="76"/>
    </row>
    <row r="40" spans="2:9" x14ac:dyDescent="0.25">
      <c r="B40" s="14" t="s">
        <v>30</v>
      </c>
      <c r="C40" s="28">
        <v>625847</v>
      </c>
      <c r="D40" s="28">
        <v>109366</v>
      </c>
      <c r="E40" s="28">
        <v>55138</v>
      </c>
      <c r="F40" s="28">
        <v>76532</v>
      </c>
      <c r="G40" s="28">
        <f>SUM(C40:F40)</f>
        <v>866883</v>
      </c>
      <c r="H40" s="7"/>
      <c r="I40" s="7"/>
    </row>
    <row r="41" spans="2:9" x14ac:dyDescent="0.25">
      <c r="B41" s="14" t="s">
        <v>31</v>
      </c>
      <c r="C41" s="28">
        <v>2883.0848820000001</v>
      </c>
      <c r="D41" s="28">
        <v>992.18647299999998</v>
      </c>
      <c r="E41" s="28">
        <v>429</v>
      </c>
      <c r="F41" s="12">
        <v>555.81477900000004</v>
      </c>
      <c r="G41" s="11">
        <f>SUM(C41:F41)</f>
        <v>4860.0861340000001</v>
      </c>
      <c r="H41" s="7"/>
      <c r="I41" s="7"/>
    </row>
    <row r="42" spans="2:9" x14ac:dyDescent="0.25">
      <c r="B42" s="69"/>
      <c r="C42" s="69"/>
      <c r="D42" s="69"/>
      <c r="E42" s="69"/>
      <c r="F42" s="69"/>
      <c r="G42" s="69"/>
      <c r="H42" s="69"/>
      <c r="I42" s="7"/>
    </row>
    <row r="43" spans="2:9" x14ac:dyDescent="0.25">
      <c r="B43" s="68" t="s">
        <v>109</v>
      </c>
      <c r="C43" s="68"/>
      <c r="D43" s="68"/>
      <c r="E43" s="68"/>
      <c r="F43" s="68"/>
      <c r="G43" s="68"/>
      <c r="I43" s="7"/>
    </row>
    <row r="44" spans="2:9" x14ac:dyDescent="0.25">
      <c r="B44" s="14" t="s">
        <v>111</v>
      </c>
      <c r="C44">
        <v>4</v>
      </c>
      <c r="D44" s="28">
        <v>5</v>
      </c>
      <c r="E44" s="40">
        <v>4</v>
      </c>
      <c r="F44" s="28">
        <v>2</v>
      </c>
      <c r="G44" s="28">
        <f>SUM(C44:F44)</f>
        <v>15</v>
      </c>
      <c r="H44" s="7"/>
      <c r="I44" s="7"/>
    </row>
    <row r="45" spans="2:9" x14ac:dyDescent="0.25">
      <c r="B45" s="14" t="s">
        <v>112</v>
      </c>
      <c r="C45" s="28">
        <f>4689771/1000000</f>
        <v>4.6897710000000004</v>
      </c>
      <c r="D45" s="13">
        <v>6.5115000000000006E-2</v>
      </c>
      <c r="E45" s="61">
        <v>0.01</v>
      </c>
      <c r="F45" s="28">
        <v>0.121561</v>
      </c>
      <c r="G45" s="11">
        <f>SUM(C45:F45)</f>
        <v>4.8864469999999995</v>
      </c>
      <c r="H45" s="7"/>
      <c r="I45" s="7"/>
    </row>
    <row r="46" spans="2:9" x14ac:dyDescent="0.25">
      <c r="B46" s="69"/>
      <c r="C46" s="69"/>
      <c r="D46" s="69"/>
      <c r="E46" s="69"/>
      <c r="F46" s="69"/>
      <c r="G46" s="69"/>
      <c r="H46" s="69"/>
      <c r="I46" s="7"/>
    </row>
    <row r="47" spans="2:9" x14ac:dyDescent="0.25">
      <c r="B47" s="68" t="s">
        <v>110</v>
      </c>
      <c r="C47" s="68"/>
      <c r="D47" s="68"/>
      <c r="E47" s="68"/>
      <c r="F47" s="68"/>
      <c r="G47" s="68"/>
      <c r="I47" s="7"/>
    </row>
    <row r="48" spans="2:9" x14ac:dyDescent="0.25">
      <c r="B48" s="14" t="s">
        <v>113</v>
      </c>
      <c r="C48" s="28">
        <v>154536</v>
      </c>
      <c r="D48" s="28">
        <v>80990</v>
      </c>
      <c r="E48" s="28">
        <v>13182</v>
      </c>
      <c r="F48" s="28">
        <v>63162</v>
      </c>
      <c r="G48" s="28">
        <f>SUM(C48:F48)</f>
        <v>311870</v>
      </c>
      <c r="H48" s="7"/>
      <c r="I48" s="7"/>
    </row>
    <row r="49" spans="2:9" x14ac:dyDescent="0.25">
      <c r="B49" s="14" t="s">
        <v>114</v>
      </c>
      <c r="C49" s="28">
        <v>80286.883105999994</v>
      </c>
      <c r="D49" s="28">
        <v>27972.561504000001</v>
      </c>
      <c r="E49" s="28">
        <v>10931.672988</v>
      </c>
      <c r="F49" s="12">
        <v>11164.744278</v>
      </c>
      <c r="G49" s="11">
        <f>SUM(C49:F49)</f>
        <v>130355.861876</v>
      </c>
      <c r="H49" s="7"/>
      <c r="I49" s="7"/>
    </row>
    <row r="50" spans="2:9" x14ac:dyDescent="0.25">
      <c r="B50" s="69"/>
      <c r="C50" s="69"/>
      <c r="D50" s="69"/>
      <c r="E50" s="69"/>
      <c r="F50" s="69"/>
      <c r="G50" s="69"/>
      <c r="H50" s="69"/>
    </row>
    <row r="51" spans="2:9" ht="21" x14ac:dyDescent="0.35">
      <c r="B51" s="78" t="s">
        <v>38</v>
      </c>
      <c r="C51" s="79"/>
      <c r="D51" s="79"/>
      <c r="E51" s="79"/>
      <c r="F51" s="79"/>
      <c r="G51" s="80"/>
    </row>
    <row r="52" spans="2:9" x14ac:dyDescent="0.25">
      <c r="B52" s="86"/>
      <c r="C52" s="86"/>
      <c r="D52" s="86"/>
      <c r="E52" s="86"/>
      <c r="F52" s="86"/>
      <c r="G52" s="86"/>
      <c r="H52" s="86"/>
    </row>
    <row r="53" spans="2:9" x14ac:dyDescent="0.25">
      <c r="B53" s="68" t="s">
        <v>39</v>
      </c>
      <c r="C53" s="68"/>
      <c r="D53" s="68"/>
      <c r="E53" s="68"/>
      <c r="F53" s="68"/>
      <c r="G53" s="68"/>
    </row>
    <row r="54" spans="2:9" x14ac:dyDescent="0.25">
      <c r="B54" s="73" t="s">
        <v>40</v>
      </c>
      <c r="C54" s="73"/>
      <c r="D54" s="73"/>
      <c r="E54" s="73"/>
      <c r="F54" s="73"/>
      <c r="G54" s="73"/>
    </row>
    <row r="55" spans="2:9" x14ac:dyDescent="0.25">
      <c r="B55" s="14" t="s">
        <v>41</v>
      </c>
      <c r="C55" s="28">
        <v>75650</v>
      </c>
      <c r="D55" s="28">
        <v>5094</v>
      </c>
      <c r="E55" s="28">
        <v>1458</v>
      </c>
      <c r="F55" s="28">
        <v>4445</v>
      </c>
      <c r="G55" s="28">
        <f t="shared" ref="G55:G71" si="0">SUM(C55:F55)</f>
        <v>86647</v>
      </c>
    </row>
    <row r="56" spans="2:9" x14ac:dyDescent="0.25">
      <c r="B56" s="14" t="s">
        <v>42</v>
      </c>
      <c r="C56" s="28">
        <v>71351.686614999999</v>
      </c>
      <c r="D56" s="28">
        <v>8341.9680320000007</v>
      </c>
      <c r="E56" s="28">
        <v>2541.2659829999998</v>
      </c>
      <c r="F56" s="28">
        <v>10557</v>
      </c>
      <c r="G56" s="28">
        <f t="shared" si="0"/>
        <v>92791.920630000008</v>
      </c>
    </row>
    <row r="57" spans="2:9" x14ac:dyDescent="0.25">
      <c r="B57" s="14" t="s">
        <v>43</v>
      </c>
      <c r="C57" s="28">
        <v>16.952478519497699</v>
      </c>
      <c r="D57" s="28">
        <v>39.859316995490445</v>
      </c>
      <c r="E57" s="28">
        <v>27</v>
      </c>
      <c r="F57" s="28">
        <v>32</v>
      </c>
      <c r="G57" s="28">
        <f>AVERAGE(C57:F57)</f>
        <v>28.952948878747037</v>
      </c>
    </row>
    <row r="58" spans="2:9" x14ac:dyDescent="0.25">
      <c r="B58" s="14" t="s">
        <v>44</v>
      </c>
      <c r="C58" s="28">
        <v>825960</v>
      </c>
      <c r="D58" s="28">
        <v>156804</v>
      </c>
      <c r="E58" s="28">
        <v>50823</v>
      </c>
      <c r="F58" s="28">
        <v>67072</v>
      </c>
      <c r="G58" s="28">
        <f t="shared" si="0"/>
        <v>1100659</v>
      </c>
    </row>
    <row r="59" spans="2:9" x14ac:dyDescent="0.25">
      <c r="B59" s="14" t="s">
        <v>115</v>
      </c>
      <c r="C59" s="28">
        <v>1712836.4425309999</v>
      </c>
      <c r="D59" s="28">
        <v>315084.44035400002</v>
      </c>
      <c r="E59" s="28">
        <v>110544.94766999999</v>
      </c>
      <c r="F59" s="28">
        <v>139864</v>
      </c>
      <c r="G59" s="11">
        <f t="shared" si="0"/>
        <v>2278329.8305549999</v>
      </c>
    </row>
    <row r="60" spans="2:9" x14ac:dyDescent="0.25">
      <c r="B60" s="73" t="s">
        <v>45</v>
      </c>
      <c r="C60" s="73"/>
      <c r="D60" s="73"/>
      <c r="E60" s="73"/>
      <c r="F60" s="73"/>
      <c r="G60" s="73"/>
    </row>
    <row r="61" spans="2:9" x14ac:dyDescent="0.25">
      <c r="B61" s="14" t="s">
        <v>41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42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43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44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115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3" t="s">
        <v>46</v>
      </c>
      <c r="C66" s="73"/>
      <c r="D66" s="73"/>
      <c r="E66" s="73"/>
      <c r="F66" s="73"/>
      <c r="G66" s="73"/>
    </row>
    <row r="67" spans="2:8" x14ac:dyDescent="0.25">
      <c r="B67" s="14" t="s">
        <v>41</v>
      </c>
      <c r="C67" s="28">
        <v>7139</v>
      </c>
      <c r="D67" s="28">
        <v>2124</v>
      </c>
      <c r="E67" s="28">
        <v>1283</v>
      </c>
      <c r="F67" s="28">
        <v>11852</v>
      </c>
      <c r="G67" s="28">
        <f t="shared" si="0"/>
        <v>22398</v>
      </c>
    </row>
    <row r="68" spans="2:8" x14ac:dyDescent="0.25">
      <c r="B68" s="14" t="s">
        <v>42</v>
      </c>
      <c r="C68" s="28">
        <v>6237.5873170000004</v>
      </c>
      <c r="D68" s="28">
        <v>2356.4371980000001</v>
      </c>
      <c r="E68" s="28">
        <v>1221.030062</v>
      </c>
      <c r="F68" s="28">
        <v>13936</v>
      </c>
      <c r="G68" s="28">
        <f t="shared" si="0"/>
        <v>23751.054577000003</v>
      </c>
    </row>
    <row r="69" spans="2:8" x14ac:dyDescent="0.25">
      <c r="B69" s="14" t="s">
        <v>43</v>
      </c>
      <c r="C69" s="28">
        <v>40.287995517579503</v>
      </c>
      <c r="D69" s="28">
        <v>55.272072673449713</v>
      </c>
      <c r="E69" s="28">
        <v>50</v>
      </c>
      <c r="F69" s="28">
        <v>41</v>
      </c>
      <c r="G69" s="28">
        <f>AVERAGE(C69:F69)</f>
        <v>46.640017047757304</v>
      </c>
    </row>
    <row r="70" spans="2:8" x14ac:dyDescent="0.25">
      <c r="B70" s="14" t="s">
        <v>44</v>
      </c>
      <c r="C70" s="28">
        <v>112706</v>
      </c>
      <c r="D70" s="28">
        <v>85718</v>
      </c>
      <c r="E70" s="28">
        <v>54012</v>
      </c>
      <c r="F70" s="28">
        <v>239942</v>
      </c>
      <c r="G70" s="28">
        <f t="shared" si="0"/>
        <v>492378</v>
      </c>
    </row>
    <row r="71" spans="2:8" x14ac:dyDescent="0.25">
      <c r="B71" s="14" t="s">
        <v>115</v>
      </c>
      <c r="C71" s="28">
        <v>108372.385044</v>
      </c>
      <c r="D71" s="28">
        <v>90054.555877000006</v>
      </c>
      <c r="E71" s="28">
        <v>54215.629110000002</v>
      </c>
      <c r="F71" s="28">
        <v>202165</v>
      </c>
      <c r="G71" s="11">
        <f t="shared" si="0"/>
        <v>454807.57003100001</v>
      </c>
    </row>
    <row r="72" spans="2:8" x14ac:dyDescent="0.25">
      <c r="B72" s="82" t="s">
        <v>47</v>
      </c>
      <c r="C72" s="83"/>
      <c r="D72" s="83"/>
      <c r="E72" s="83"/>
      <c r="F72" s="83"/>
      <c r="G72" s="84"/>
    </row>
    <row r="73" spans="2:8" x14ac:dyDescent="0.25">
      <c r="B73" s="18" t="s">
        <v>116</v>
      </c>
      <c r="C73" s="19">
        <f>+C55+C67</f>
        <v>82789</v>
      </c>
      <c r="D73" s="19">
        <f>+D67+D61+D55</f>
        <v>7218</v>
      </c>
      <c r="E73" s="19">
        <f t="shared" ref="E73:E74" si="1">+E67+E61+E55</f>
        <v>2741</v>
      </c>
      <c r="F73" s="19">
        <f>+F55+F67</f>
        <v>16297</v>
      </c>
      <c r="G73" s="19">
        <f>SUM(C73:F73)</f>
        <v>109045</v>
      </c>
    </row>
    <row r="74" spans="2:8" x14ac:dyDescent="0.25">
      <c r="B74" s="18" t="s">
        <v>42</v>
      </c>
      <c r="C74" s="19">
        <f>+C56+C68</f>
        <v>77589.273931999996</v>
      </c>
      <c r="D74" s="19">
        <f t="shared" ref="D74:E77" si="2">+D68+D62+D56</f>
        <v>10698.40523</v>
      </c>
      <c r="E74" s="19">
        <f t="shared" si="1"/>
        <v>3762.296045</v>
      </c>
      <c r="F74" s="19">
        <f>+F56+F68</f>
        <v>24493</v>
      </c>
      <c r="G74" s="22">
        <f>SUM(C74:F74)</f>
        <v>116542.975207</v>
      </c>
    </row>
    <row r="75" spans="2:8" x14ac:dyDescent="0.25">
      <c r="B75" s="18" t="s">
        <v>43</v>
      </c>
      <c r="C75" s="19">
        <v>0</v>
      </c>
      <c r="D75" s="19">
        <f>(+D57+D63+D69)/3</f>
        <v>31.710463222980053</v>
      </c>
      <c r="E75" s="19">
        <v>0</v>
      </c>
      <c r="F75" s="19">
        <f>(F57+F69)/2</f>
        <v>36.5</v>
      </c>
      <c r="G75" s="19">
        <f>AVERAGE(C75:F75)</f>
        <v>17.052615805745013</v>
      </c>
    </row>
    <row r="76" spans="2:8" x14ac:dyDescent="0.25">
      <c r="B76" s="18" t="s">
        <v>44</v>
      </c>
      <c r="C76" s="19">
        <f>+C58+C70</f>
        <v>938666</v>
      </c>
      <c r="D76" s="19">
        <f t="shared" si="2"/>
        <v>242522</v>
      </c>
      <c r="E76" s="19">
        <f t="shared" si="2"/>
        <v>104835</v>
      </c>
      <c r="F76" s="19">
        <f>+F58+F70</f>
        <v>307014</v>
      </c>
      <c r="G76" s="19">
        <f>SUM(C76:F76)</f>
        <v>1593037</v>
      </c>
    </row>
    <row r="77" spans="2:8" x14ac:dyDescent="0.25">
      <c r="B77" s="18" t="s">
        <v>115</v>
      </c>
      <c r="C77" s="19">
        <f>+C59+C71</f>
        <v>1821208.827575</v>
      </c>
      <c r="D77" s="19">
        <f>+D71+D65+D59</f>
        <v>405138.99623100006</v>
      </c>
      <c r="E77" s="19">
        <f t="shared" si="2"/>
        <v>164760.57678</v>
      </c>
      <c r="F77" s="19">
        <f>+F59+F71</f>
        <v>342029</v>
      </c>
      <c r="G77" s="22">
        <f>SUM(C77:F77)</f>
        <v>2733137.4005859997</v>
      </c>
    </row>
    <row r="78" spans="2:8" x14ac:dyDescent="0.25">
      <c r="B78" s="69"/>
      <c r="C78" s="69"/>
      <c r="D78" s="69"/>
      <c r="E78" s="69"/>
      <c r="F78" s="69"/>
      <c r="G78" s="69"/>
      <c r="H78" s="69"/>
    </row>
    <row r="79" spans="2:8" x14ac:dyDescent="0.25">
      <c r="B79" s="74" t="s">
        <v>48</v>
      </c>
      <c r="C79" s="75"/>
      <c r="D79" s="75"/>
      <c r="E79" s="75"/>
      <c r="F79" s="75"/>
      <c r="G79" s="76"/>
    </row>
    <row r="80" spans="2:8" x14ac:dyDescent="0.25">
      <c r="B80" s="70" t="s">
        <v>40</v>
      </c>
      <c r="C80" s="71"/>
      <c r="D80" s="71"/>
      <c r="E80" s="71"/>
      <c r="F80" s="71"/>
      <c r="G80" s="72"/>
    </row>
    <row r="81" spans="2:7" x14ac:dyDescent="0.25">
      <c r="B81" s="14" t="s">
        <v>41</v>
      </c>
      <c r="C81" s="24">
        <v>0</v>
      </c>
      <c r="D81" s="24">
        <v>0</v>
      </c>
      <c r="E81" s="24">
        <v>0</v>
      </c>
      <c r="F81" s="28">
        <v>0</v>
      </c>
      <c r="G81" s="20">
        <f>SUM(C81:F81)</f>
        <v>0</v>
      </c>
    </row>
    <row r="82" spans="2:7" x14ac:dyDescent="0.25">
      <c r="B82" s="14" t="s">
        <v>42</v>
      </c>
      <c r="C82" s="24">
        <v>0</v>
      </c>
      <c r="D82" s="24">
        <v>0</v>
      </c>
      <c r="E82" s="24">
        <v>0</v>
      </c>
      <c r="F82" s="28">
        <v>0</v>
      </c>
      <c r="G82" s="24">
        <f>SUM(C82:F82)</f>
        <v>0</v>
      </c>
    </row>
    <row r="83" spans="2:7" x14ac:dyDescent="0.25">
      <c r="B83" s="14" t="s">
        <v>43</v>
      </c>
      <c r="C83" s="24">
        <v>0</v>
      </c>
      <c r="D83" s="24">
        <v>0</v>
      </c>
      <c r="E83" s="24">
        <v>0</v>
      </c>
      <c r="F83" s="28">
        <v>0</v>
      </c>
      <c r="G83" s="24">
        <f>AVERAGE(C83:F83)</f>
        <v>0</v>
      </c>
    </row>
    <row r="84" spans="2:7" x14ac:dyDescent="0.25">
      <c r="B84" s="14" t="s">
        <v>44</v>
      </c>
      <c r="C84" s="28">
        <v>1031</v>
      </c>
      <c r="D84" s="28">
        <v>123</v>
      </c>
      <c r="E84" s="28">
        <v>6</v>
      </c>
      <c r="F84" s="24">
        <v>102</v>
      </c>
      <c r="G84" s="24">
        <f>SUM(C84:F84)</f>
        <v>1262</v>
      </c>
    </row>
    <row r="85" spans="2:7" x14ac:dyDescent="0.25">
      <c r="B85" s="14" t="s">
        <v>115</v>
      </c>
      <c r="C85" s="28">
        <v>22223.140868999999</v>
      </c>
      <c r="D85" s="28">
        <v>1537</v>
      </c>
      <c r="E85" s="28">
        <v>79</v>
      </c>
      <c r="F85" s="28">
        <v>1968.0683739999999</v>
      </c>
      <c r="G85" s="11">
        <f>SUM(C85:F85)</f>
        <v>25807.209242999998</v>
      </c>
    </row>
    <row r="86" spans="2:7" x14ac:dyDescent="0.25">
      <c r="B86" s="70" t="s">
        <v>45</v>
      </c>
      <c r="C86" s="71"/>
      <c r="D86" s="71"/>
      <c r="E86" s="71"/>
      <c r="F86" s="71"/>
      <c r="G86" s="72"/>
    </row>
    <row r="87" spans="2:7" x14ac:dyDescent="0.25">
      <c r="B87" s="14" t="s">
        <v>41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42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43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44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115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0" t="s">
        <v>46</v>
      </c>
      <c r="C92" s="71"/>
      <c r="D92" s="71"/>
      <c r="E92" s="71"/>
      <c r="F92" s="71"/>
      <c r="G92" s="72"/>
    </row>
    <row r="93" spans="2:7" x14ac:dyDescent="0.25">
      <c r="B93" s="14" t="s">
        <v>41</v>
      </c>
      <c r="C93" s="28">
        <v>0</v>
      </c>
      <c r="D93" s="28">
        <v>0</v>
      </c>
      <c r="E93" s="28">
        <v>0</v>
      </c>
      <c r="F93" s="28">
        <v>0</v>
      </c>
      <c r="G93" s="28">
        <f>SUM(C93:F93)</f>
        <v>0</v>
      </c>
    </row>
    <row r="94" spans="2:7" x14ac:dyDescent="0.25">
      <c r="B94" s="14" t="s">
        <v>42</v>
      </c>
      <c r="C94" s="28">
        <v>0</v>
      </c>
      <c r="D94" s="28">
        <v>0</v>
      </c>
      <c r="E94" s="28">
        <v>0</v>
      </c>
      <c r="F94" s="28">
        <v>0</v>
      </c>
      <c r="G94" s="28">
        <f>SUM(C94:F94)</f>
        <v>0</v>
      </c>
    </row>
    <row r="95" spans="2:7" x14ac:dyDescent="0.25">
      <c r="B95" s="14" t="s">
        <v>43</v>
      </c>
      <c r="C95" s="28">
        <v>0</v>
      </c>
      <c r="D95" s="28">
        <v>0</v>
      </c>
      <c r="E95" s="28">
        <v>0</v>
      </c>
      <c r="F95" s="28">
        <v>0</v>
      </c>
      <c r="G95" s="28">
        <f>AVERAGE(C95:F95)</f>
        <v>0</v>
      </c>
    </row>
    <row r="96" spans="2:7" x14ac:dyDescent="0.25">
      <c r="B96" s="14" t="s">
        <v>44</v>
      </c>
      <c r="C96" s="24">
        <v>12</v>
      </c>
      <c r="D96" s="28">
        <v>0</v>
      </c>
      <c r="E96" s="28">
        <v>0</v>
      </c>
      <c r="F96" s="24">
        <v>7</v>
      </c>
      <c r="G96" s="28">
        <f>SUM(C96:F96)</f>
        <v>19</v>
      </c>
    </row>
    <row r="97" spans="2:8" x14ac:dyDescent="0.25">
      <c r="B97" s="14" t="s">
        <v>115</v>
      </c>
      <c r="C97" s="24">
        <v>191.17075299999999</v>
      </c>
      <c r="D97" s="28">
        <v>0</v>
      </c>
      <c r="E97" s="28">
        <v>0</v>
      </c>
      <c r="F97" s="24">
        <v>91.491591</v>
      </c>
      <c r="G97" s="11">
        <f>SUM(C97:F97)</f>
        <v>282.66234399999996</v>
      </c>
    </row>
    <row r="98" spans="2:8" x14ac:dyDescent="0.25">
      <c r="B98" s="82" t="s">
        <v>49</v>
      </c>
      <c r="C98" s="83"/>
      <c r="D98" s="83"/>
      <c r="E98" s="83"/>
      <c r="F98" s="83"/>
      <c r="G98" s="84"/>
    </row>
    <row r="99" spans="2:8" x14ac:dyDescent="0.25">
      <c r="B99" s="18" t="s">
        <v>41</v>
      </c>
      <c r="C99" s="19">
        <v>0</v>
      </c>
      <c r="D99" s="19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42</v>
      </c>
      <c r="C100" s="19">
        <v>0</v>
      </c>
      <c r="D100" s="19">
        <v>0</v>
      </c>
      <c r="E100" s="19">
        <v>0</v>
      </c>
      <c r="F100" s="19">
        <v>0</v>
      </c>
      <c r="G100" s="22">
        <f>SUM(C100:F100)</f>
        <v>0</v>
      </c>
    </row>
    <row r="101" spans="2:8" x14ac:dyDescent="0.25">
      <c r="B101" s="18" t="s">
        <v>43</v>
      </c>
      <c r="C101" s="19">
        <v>0</v>
      </c>
      <c r="D101" s="19">
        <v>0</v>
      </c>
      <c r="E101" s="19">
        <v>0</v>
      </c>
      <c r="F101" s="19">
        <v>0</v>
      </c>
      <c r="G101" s="19">
        <f>AVERAGE(C101:F101)</f>
        <v>0</v>
      </c>
    </row>
    <row r="102" spans="2:8" x14ac:dyDescent="0.25">
      <c r="B102" s="18" t="s">
        <v>44</v>
      </c>
      <c r="C102" s="19">
        <f>+C96+C84</f>
        <v>1043</v>
      </c>
      <c r="D102" s="19">
        <f t="shared" ref="D102:D103" si="3">+D96+D90+D84</f>
        <v>123</v>
      </c>
      <c r="E102" s="19">
        <f>+E84</f>
        <v>6</v>
      </c>
      <c r="F102" s="19">
        <f>+F96+F84</f>
        <v>109</v>
      </c>
      <c r="G102" s="19">
        <f>SUM(C102:F102)</f>
        <v>1281</v>
      </c>
    </row>
    <row r="103" spans="2:8" x14ac:dyDescent="0.25">
      <c r="B103" s="18" t="s">
        <v>115</v>
      </c>
      <c r="C103" s="19">
        <f>+C97+C85</f>
        <v>22414.311621999997</v>
      </c>
      <c r="D103" s="19">
        <f t="shared" si="3"/>
        <v>1537</v>
      </c>
      <c r="E103" s="19">
        <f>+E85</f>
        <v>79</v>
      </c>
      <c r="F103" s="19">
        <f>+F85+F97</f>
        <v>2059.5599649999999</v>
      </c>
      <c r="G103" s="22">
        <f>SUM(C103:F103)</f>
        <v>26089.871586999998</v>
      </c>
    </row>
    <row r="104" spans="2:8" x14ac:dyDescent="0.25">
      <c r="B104" s="69"/>
      <c r="C104" s="69"/>
      <c r="D104" s="69"/>
      <c r="E104" s="69"/>
      <c r="F104" s="69"/>
      <c r="G104" s="69"/>
      <c r="H104" s="69"/>
    </row>
    <row r="105" spans="2:8" x14ac:dyDescent="0.25">
      <c r="B105" s="68" t="s">
        <v>50</v>
      </c>
      <c r="C105" s="68"/>
      <c r="D105" s="68"/>
      <c r="E105" s="68"/>
      <c r="F105" s="68"/>
      <c r="G105" s="68"/>
    </row>
    <row r="106" spans="2:8" x14ac:dyDescent="0.25">
      <c r="B106" s="73" t="s">
        <v>51</v>
      </c>
      <c r="C106" s="73"/>
      <c r="D106" s="73"/>
      <c r="E106" s="73"/>
      <c r="F106" s="73"/>
      <c r="G106" s="73"/>
    </row>
    <row r="107" spans="2:8" x14ac:dyDescent="0.25">
      <c r="B107" s="14" t="s">
        <v>52</v>
      </c>
      <c r="C107" s="13">
        <v>2.3942569366631368</v>
      </c>
      <c r="D107" s="13">
        <v>2.4499999999999709</v>
      </c>
      <c r="E107" s="31">
        <v>2.59</v>
      </c>
      <c r="F107" s="13">
        <v>2.4900000000000002</v>
      </c>
      <c r="G107" s="13">
        <f>AVERAGE(C107:F107)</f>
        <v>2.4810642341657769</v>
      </c>
    </row>
    <row r="108" spans="2:8" x14ac:dyDescent="0.25">
      <c r="B108" s="14" t="s">
        <v>53</v>
      </c>
      <c r="C108" s="13">
        <v>2.1047831687417338</v>
      </c>
      <c r="D108" s="13">
        <v>2.449999999999986</v>
      </c>
      <c r="E108" s="32">
        <v>2.5499999999999998</v>
      </c>
      <c r="F108" s="13">
        <v>2.4900000000000002</v>
      </c>
      <c r="G108" s="13">
        <f>AVERAGE(C108:F108)</f>
        <v>2.3986957921854302</v>
      </c>
    </row>
    <row r="109" spans="2:8" x14ac:dyDescent="0.25">
      <c r="B109" s="14" t="s">
        <v>54</v>
      </c>
      <c r="C109" s="13">
        <v>1.9766379696011032</v>
      </c>
      <c r="D109" s="13">
        <v>2.6314532520325424</v>
      </c>
      <c r="E109" s="31">
        <v>2.65</v>
      </c>
      <c r="F109" s="13">
        <v>2.57</v>
      </c>
      <c r="G109" s="13">
        <f>AVERAGE(C109:F109)</f>
        <v>2.4570228054084113</v>
      </c>
    </row>
    <row r="110" spans="2:8" x14ac:dyDescent="0.25">
      <c r="B110" s="73" t="s">
        <v>55</v>
      </c>
      <c r="C110" s="73"/>
      <c r="D110" s="73"/>
      <c r="E110" s="73"/>
      <c r="F110" s="73"/>
      <c r="G110" s="73"/>
    </row>
    <row r="111" spans="2:8" x14ac:dyDescent="0.25">
      <c r="B111" s="14" t="s">
        <v>52</v>
      </c>
      <c r="C111" s="13">
        <v>1.7954545454545459</v>
      </c>
      <c r="D111" s="13">
        <v>1.6000000000000005</v>
      </c>
      <c r="E111" s="31">
        <v>1.6</v>
      </c>
      <c r="F111" s="13">
        <v>1.91</v>
      </c>
      <c r="G111" s="13">
        <f>AVERAGE(C111:F111)</f>
        <v>1.7263636363636365</v>
      </c>
    </row>
    <row r="112" spans="2:8" x14ac:dyDescent="0.25">
      <c r="B112" s="14" t="s">
        <v>53</v>
      </c>
      <c r="C112" s="13">
        <v>1.7874301675977662</v>
      </c>
      <c r="D112" s="13">
        <v>2.1599999999999979</v>
      </c>
      <c r="E112" s="31">
        <v>2.15</v>
      </c>
      <c r="F112" s="31">
        <v>2.14</v>
      </c>
      <c r="G112" s="13">
        <f>AVERAGE(C112:F112)</f>
        <v>2.0593575418994412</v>
      </c>
    </row>
    <row r="113" spans="2:9" x14ac:dyDescent="0.25">
      <c r="B113" s="14" t="s">
        <v>54</v>
      </c>
      <c r="C113" s="13">
        <v>1.7678910313188427</v>
      </c>
      <c r="D113" s="13">
        <v>2.1600000000000081</v>
      </c>
      <c r="E113" s="31">
        <v>2.25</v>
      </c>
      <c r="F113" s="31">
        <v>2.15</v>
      </c>
      <c r="G113" s="13">
        <f>AVERAGE(C113:F113)</f>
        <v>2.0819727578297127</v>
      </c>
    </row>
    <row r="114" spans="2:9" x14ac:dyDescent="0.25">
      <c r="B114" s="69"/>
      <c r="C114" s="69"/>
      <c r="D114" s="69"/>
      <c r="E114" s="69"/>
      <c r="F114" s="69"/>
      <c r="G114" s="69"/>
      <c r="H114" s="69"/>
      <c r="I114" s="69"/>
    </row>
    <row r="115" spans="2:9" x14ac:dyDescent="0.25">
      <c r="B115" s="73" t="s">
        <v>56</v>
      </c>
      <c r="C115" s="73"/>
      <c r="D115" s="73"/>
      <c r="E115" s="73"/>
      <c r="F115" s="73"/>
      <c r="G115" s="73"/>
    </row>
    <row r="116" spans="2:9" x14ac:dyDescent="0.25">
      <c r="B116" s="14" t="s">
        <v>52</v>
      </c>
      <c r="C116" s="13">
        <v>1.5216334661354542</v>
      </c>
      <c r="D116" s="13">
        <v>1.7900000000000034</v>
      </c>
      <c r="E116" s="32">
        <v>1.77</v>
      </c>
      <c r="F116" s="32">
        <v>1.77</v>
      </c>
      <c r="G116" s="13">
        <f>AVERAGE(C116:F116)</f>
        <v>1.7129083665338642</v>
      </c>
    </row>
    <row r="117" spans="2:9" x14ac:dyDescent="0.25">
      <c r="B117" s="14" t="s">
        <v>53</v>
      </c>
      <c r="C117" s="13">
        <v>1.7319963369963374</v>
      </c>
      <c r="D117" s="13">
        <v>1.7900000000000043</v>
      </c>
      <c r="E117" s="32">
        <v>1.77</v>
      </c>
      <c r="F117" s="32">
        <v>1.77</v>
      </c>
      <c r="G117" s="13">
        <f>AVERAGE(C117:F117)</f>
        <v>1.7654990842490852</v>
      </c>
    </row>
    <row r="118" spans="2:9" x14ac:dyDescent="0.25">
      <c r="B118" s="14" t="s">
        <v>54</v>
      </c>
      <c r="C118" s="13">
        <v>1.673603494911327</v>
      </c>
      <c r="D118" s="13">
        <v>1.7899999999999683</v>
      </c>
      <c r="E118" s="32">
        <v>1.91</v>
      </c>
      <c r="F118" s="13">
        <v>1.7900000000000034</v>
      </c>
      <c r="G118" s="13">
        <f>AVERAGE(C118:F118)</f>
        <v>1.7909008737278247</v>
      </c>
    </row>
    <row r="119" spans="2:9" x14ac:dyDescent="0.25">
      <c r="B119" s="70" t="s">
        <v>57</v>
      </c>
      <c r="C119" s="71"/>
      <c r="D119" s="71"/>
      <c r="E119" s="71"/>
      <c r="F119" s="71"/>
      <c r="G119" s="72"/>
    </row>
    <row r="120" spans="2:9" x14ac:dyDescent="0.25">
      <c r="B120" s="14" t="s">
        <v>52</v>
      </c>
      <c r="C120" s="13">
        <v>0</v>
      </c>
      <c r="D120" s="13">
        <v>1.43</v>
      </c>
      <c r="E120" s="31">
        <v>0</v>
      </c>
      <c r="F120" s="31">
        <v>0.39</v>
      </c>
      <c r="G120" s="13">
        <f>AVERAGE(C120:F120)</f>
        <v>0.45499999999999996</v>
      </c>
    </row>
    <row r="121" spans="2:9" x14ac:dyDescent="0.25">
      <c r="B121" s="14" t="s">
        <v>53</v>
      </c>
      <c r="C121" s="58">
        <v>1.34</v>
      </c>
      <c r="D121" s="13">
        <v>1.43</v>
      </c>
      <c r="E121" s="31">
        <v>1.34</v>
      </c>
      <c r="F121" s="31">
        <v>1.36</v>
      </c>
      <c r="G121" s="13">
        <f>AVERAGE(C121:F121)</f>
        <v>1.3675000000000002</v>
      </c>
    </row>
    <row r="122" spans="2:9" x14ac:dyDescent="0.25">
      <c r="B122" s="14" t="s">
        <v>54</v>
      </c>
      <c r="C122" s="13">
        <v>1.43</v>
      </c>
      <c r="D122" s="13">
        <v>1.43</v>
      </c>
      <c r="E122" s="31">
        <v>1.43</v>
      </c>
      <c r="F122" s="31">
        <v>1.43</v>
      </c>
      <c r="G122" s="13">
        <f>AVERAGE(C122:F122)</f>
        <v>1.43</v>
      </c>
    </row>
    <row r="123" spans="2:9" x14ac:dyDescent="0.25">
      <c r="B123" s="69"/>
      <c r="C123" s="69"/>
      <c r="D123" s="69"/>
      <c r="E123" s="69"/>
      <c r="F123" s="69"/>
      <c r="G123" s="69"/>
      <c r="H123" s="69"/>
    </row>
    <row r="124" spans="2:9" x14ac:dyDescent="0.25">
      <c r="B124" s="74" t="s">
        <v>58</v>
      </c>
      <c r="C124" s="75"/>
      <c r="D124" s="75"/>
      <c r="E124" s="75"/>
      <c r="F124" s="75"/>
      <c r="G124" s="76"/>
    </row>
    <row r="125" spans="2:9" x14ac:dyDescent="0.25">
      <c r="B125" s="2" t="s">
        <v>59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4" t="s">
        <v>60</v>
      </c>
      <c r="C126" s="75"/>
      <c r="D126" s="75"/>
      <c r="E126" s="75"/>
      <c r="F126" s="75"/>
      <c r="G126" s="76"/>
    </row>
    <row r="127" spans="2:9" x14ac:dyDescent="0.25">
      <c r="B127" s="3" t="s">
        <v>61</v>
      </c>
      <c r="C127" s="13">
        <v>1.56</v>
      </c>
      <c r="D127" s="42">
        <v>2.0176381315068301</v>
      </c>
      <c r="E127" s="34">
        <v>1.991168</v>
      </c>
      <c r="F127" s="4">
        <v>0</v>
      </c>
      <c r="G127" s="11">
        <f>AVERAGE(C127:E127)</f>
        <v>1.8562687105022768</v>
      </c>
    </row>
    <row r="128" spans="2:9" x14ac:dyDescent="0.25">
      <c r="B128" s="81"/>
      <c r="C128" s="81"/>
      <c r="D128" s="81"/>
      <c r="E128" s="81"/>
      <c r="F128" s="81"/>
      <c r="G128" s="81"/>
      <c r="H128" s="81"/>
    </row>
    <row r="129" spans="2:9" x14ac:dyDescent="0.25">
      <c r="B129" s="68" t="s">
        <v>62</v>
      </c>
      <c r="C129" s="68"/>
      <c r="D129" s="68"/>
      <c r="E129" s="68"/>
      <c r="F129" s="68"/>
      <c r="G129" s="68"/>
    </row>
    <row r="130" spans="2:9" x14ac:dyDescent="0.25">
      <c r="B130" s="14" t="s">
        <v>63</v>
      </c>
      <c r="C130" s="28">
        <v>259697</v>
      </c>
      <c r="D130" s="28">
        <v>3855</v>
      </c>
      <c r="E130" s="28">
        <v>8578</v>
      </c>
      <c r="F130" s="28">
        <v>819</v>
      </c>
      <c r="G130" s="28">
        <f>SUM(C130:F130)</f>
        <v>272949</v>
      </c>
    </row>
    <row r="131" spans="2:9" x14ac:dyDescent="0.25">
      <c r="B131" s="14" t="s">
        <v>64</v>
      </c>
      <c r="C131" s="28">
        <v>178126.268484</v>
      </c>
      <c r="D131" s="28">
        <v>3883.3642399999999</v>
      </c>
      <c r="E131" s="28">
        <v>1173</v>
      </c>
      <c r="F131" s="28">
        <v>875.11166900000001</v>
      </c>
      <c r="G131" s="11">
        <f>SUM(C131:F131)</f>
        <v>184057.744393</v>
      </c>
    </row>
    <row r="132" spans="2:9" x14ac:dyDescent="0.25">
      <c r="B132" s="69"/>
      <c r="C132" s="69"/>
      <c r="D132" s="69"/>
      <c r="E132" s="69"/>
      <c r="F132" s="69"/>
      <c r="G132" s="69"/>
      <c r="H132" s="69"/>
    </row>
    <row r="133" spans="2:9" x14ac:dyDescent="0.25">
      <c r="B133" s="68" t="s">
        <v>65</v>
      </c>
      <c r="C133" s="68"/>
      <c r="D133" s="68"/>
      <c r="E133" s="68"/>
      <c r="F133" s="68"/>
      <c r="G133" s="68"/>
    </row>
    <row r="134" spans="2:9" x14ac:dyDescent="0.25">
      <c r="B134" s="14" t="s">
        <v>66</v>
      </c>
      <c r="C134" s="28">
        <v>491708</v>
      </c>
      <c r="D134" s="28">
        <v>373580</v>
      </c>
      <c r="E134" s="28">
        <v>119420</v>
      </c>
      <c r="F134" s="28">
        <v>290470</v>
      </c>
      <c r="G134" s="28">
        <f>SUM(C134:F134)</f>
        <v>1275178</v>
      </c>
    </row>
    <row r="135" spans="2:9" x14ac:dyDescent="0.25">
      <c r="B135" s="69"/>
      <c r="C135" s="69"/>
      <c r="D135" s="69"/>
      <c r="E135" s="69"/>
      <c r="F135" s="69"/>
      <c r="G135" s="69"/>
      <c r="H135" s="69"/>
    </row>
    <row r="136" spans="2:9" ht="21" x14ac:dyDescent="0.35">
      <c r="B136" s="77" t="s">
        <v>67</v>
      </c>
      <c r="C136" s="77"/>
      <c r="D136" s="77"/>
      <c r="E136" s="77"/>
      <c r="F136" s="77"/>
      <c r="G136" s="77"/>
    </row>
    <row r="137" spans="2:9" x14ac:dyDescent="0.25">
      <c r="B137" s="68" t="s">
        <v>68</v>
      </c>
      <c r="C137" s="68"/>
      <c r="D137" s="68"/>
      <c r="E137" s="68"/>
      <c r="F137" s="68"/>
      <c r="G137" s="68"/>
    </row>
    <row r="138" spans="2:9" x14ac:dyDescent="0.25">
      <c r="B138" s="14" t="s">
        <v>69</v>
      </c>
      <c r="C138" s="28">
        <v>0</v>
      </c>
      <c r="D138" s="28">
        <v>481</v>
      </c>
      <c r="E138" s="28">
        <v>0</v>
      </c>
      <c r="F138" s="28">
        <v>15442</v>
      </c>
      <c r="G138" s="28">
        <f>SUM(C138:F138)</f>
        <v>15923</v>
      </c>
      <c r="H138" s="7"/>
      <c r="I138" s="7"/>
    </row>
    <row r="139" spans="2:9" x14ac:dyDescent="0.25">
      <c r="B139" s="14" t="s">
        <v>70</v>
      </c>
      <c r="C139" s="28">
        <v>0</v>
      </c>
      <c r="D139" s="28">
        <v>0</v>
      </c>
      <c r="E139" s="28">
        <v>0</v>
      </c>
      <c r="F139" s="28">
        <v>168</v>
      </c>
      <c r="G139" s="28">
        <f>SUM(C139:F139)</f>
        <v>168</v>
      </c>
      <c r="H139" s="7"/>
      <c r="I139" s="7"/>
    </row>
    <row r="140" spans="2:9" x14ac:dyDescent="0.25">
      <c r="B140" s="69"/>
      <c r="C140" s="69"/>
      <c r="D140" s="69"/>
      <c r="E140" s="69"/>
      <c r="F140" s="69"/>
      <c r="G140" s="69"/>
      <c r="H140" s="69"/>
      <c r="I140" s="7"/>
    </row>
    <row r="141" spans="2:9" x14ac:dyDescent="0.25">
      <c r="B141" s="69"/>
      <c r="C141" s="69"/>
      <c r="D141" s="69"/>
      <c r="E141" s="69"/>
      <c r="F141" s="69"/>
      <c r="G141" s="69"/>
      <c r="H141" s="69"/>
    </row>
    <row r="142" spans="2:9" ht="21" x14ac:dyDescent="0.35">
      <c r="B142" s="78" t="s">
        <v>71</v>
      </c>
      <c r="C142" s="79"/>
      <c r="D142" s="79"/>
      <c r="E142" s="79"/>
      <c r="F142" s="79"/>
      <c r="G142" s="80"/>
    </row>
    <row r="143" spans="2:9" x14ac:dyDescent="0.25">
      <c r="B143" s="74" t="s">
        <v>72</v>
      </c>
      <c r="C143" s="75"/>
      <c r="D143" s="75"/>
      <c r="E143" s="75"/>
      <c r="F143" s="75"/>
      <c r="G143" s="76"/>
    </row>
    <row r="144" spans="2:9" x14ac:dyDescent="0.25">
      <c r="B144" s="69"/>
      <c r="C144" s="69"/>
      <c r="D144" s="69"/>
      <c r="E144" s="69"/>
      <c r="F144" s="69"/>
      <c r="G144" s="69"/>
      <c r="H144" s="69"/>
    </row>
    <row r="145" spans="2:8" x14ac:dyDescent="0.25">
      <c r="B145" s="73" t="s">
        <v>73</v>
      </c>
      <c r="C145" s="73"/>
      <c r="D145" s="73"/>
      <c r="E145" s="73"/>
      <c r="F145" s="73"/>
      <c r="G145" s="73"/>
    </row>
    <row r="146" spans="2:8" x14ac:dyDescent="0.25">
      <c r="B146" s="14" t="s">
        <v>74</v>
      </c>
      <c r="C146" s="28">
        <v>0</v>
      </c>
      <c r="D146" s="28">
        <v>623</v>
      </c>
      <c r="E146" s="28">
        <v>0</v>
      </c>
      <c r="F146" s="14">
        <v>755</v>
      </c>
      <c r="G146" s="28">
        <f>SUM(C146:F146)</f>
        <v>1378</v>
      </c>
    </row>
    <row r="147" spans="2:8" x14ac:dyDescent="0.25">
      <c r="B147" s="14" t="s">
        <v>75</v>
      </c>
      <c r="C147" s="28">
        <v>0</v>
      </c>
      <c r="D147" s="28">
        <v>13.635999999999999</v>
      </c>
      <c r="E147" s="28">
        <v>0</v>
      </c>
      <c r="F147" s="59">
        <v>8.2257499999999997</v>
      </c>
      <c r="G147" s="11">
        <f>SUM(C147:F147)</f>
        <v>21.861750000000001</v>
      </c>
    </row>
    <row r="148" spans="2:8" x14ac:dyDescent="0.25">
      <c r="B148" s="69"/>
      <c r="C148" s="69"/>
      <c r="D148" s="69"/>
      <c r="E148" s="69"/>
      <c r="F148" s="69"/>
      <c r="G148" s="69"/>
      <c r="H148" s="69"/>
    </row>
    <row r="149" spans="2:8" x14ac:dyDescent="0.25">
      <c r="B149" s="73" t="s">
        <v>76</v>
      </c>
      <c r="C149" s="73"/>
      <c r="D149" s="73"/>
      <c r="E149" s="73"/>
      <c r="F149" s="73"/>
      <c r="G149" s="73"/>
    </row>
    <row r="150" spans="2:8" x14ac:dyDescent="0.25">
      <c r="B150" s="14" t="s">
        <v>77</v>
      </c>
      <c r="C150" s="28">
        <v>0</v>
      </c>
      <c r="D150" s="12">
        <v>7607</v>
      </c>
      <c r="E150" s="28"/>
      <c r="F150" s="28">
        <v>0</v>
      </c>
      <c r="G150" s="28">
        <f>SUM(C150:F150)</f>
        <v>7607</v>
      </c>
      <c r="H150"/>
    </row>
    <row r="151" spans="2:8" x14ac:dyDescent="0.25">
      <c r="B151" s="14" t="s">
        <v>78</v>
      </c>
      <c r="C151" s="28">
        <v>0</v>
      </c>
      <c r="D151" s="12">
        <v>309.62299999999999</v>
      </c>
      <c r="E151" s="28">
        <f>149000/1000000</f>
        <v>0.14899999999999999</v>
      </c>
      <c r="F151" s="28">
        <v>0</v>
      </c>
      <c r="G151" s="11">
        <f>SUM(C151:F151)</f>
        <v>309.77199999999999</v>
      </c>
      <c r="H151"/>
    </row>
    <row r="152" spans="2:8" x14ac:dyDescent="0.25">
      <c r="B152" s="69"/>
      <c r="C152" s="69"/>
      <c r="D152" s="69"/>
      <c r="E152" s="69"/>
      <c r="F152" s="69"/>
      <c r="G152" s="69"/>
      <c r="H152" s="69"/>
    </row>
    <row r="153" spans="2:8" x14ac:dyDescent="0.25">
      <c r="B153" s="73" t="s">
        <v>79</v>
      </c>
      <c r="C153" s="73"/>
      <c r="D153" s="73"/>
      <c r="E153" s="73"/>
      <c r="F153" s="73"/>
      <c r="G153" s="73"/>
    </row>
    <row r="154" spans="2:8" x14ac:dyDescent="0.25">
      <c r="B154" s="14" t="s">
        <v>80</v>
      </c>
      <c r="C154" s="28">
        <v>0</v>
      </c>
      <c r="D154" s="28">
        <v>263</v>
      </c>
      <c r="E154" s="28">
        <v>0</v>
      </c>
      <c r="F154" s="35">
        <v>0</v>
      </c>
      <c r="G154" s="28">
        <f>SUM(C154:F154)</f>
        <v>263</v>
      </c>
      <c r="H154"/>
    </row>
    <row r="155" spans="2:8" x14ac:dyDescent="0.25">
      <c r="B155" s="14" t="s">
        <v>81</v>
      </c>
      <c r="C155" s="28">
        <v>0</v>
      </c>
      <c r="D155" s="28">
        <v>2.2502379999999995</v>
      </c>
      <c r="E155" s="28">
        <v>0</v>
      </c>
      <c r="F155" s="30">
        <v>0</v>
      </c>
      <c r="G155" s="11">
        <f>SUM(C155:F155)</f>
        <v>2.2502379999999995</v>
      </c>
      <c r="H155"/>
    </row>
    <row r="156" spans="2:8" x14ac:dyDescent="0.25">
      <c r="B156" s="69"/>
      <c r="C156" s="69"/>
      <c r="D156" s="69"/>
      <c r="E156" s="69"/>
      <c r="F156" s="69"/>
      <c r="G156" s="69"/>
      <c r="H156" s="69"/>
    </row>
    <row r="157" spans="2:8" x14ac:dyDescent="0.25">
      <c r="B157" s="70" t="s">
        <v>82</v>
      </c>
      <c r="C157" s="71"/>
      <c r="D157" s="71"/>
      <c r="E157" s="71"/>
      <c r="F157" s="71"/>
      <c r="G157" s="72"/>
    </row>
    <row r="158" spans="2:8" x14ac:dyDescent="0.25">
      <c r="B158" s="18" t="s">
        <v>83</v>
      </c>
      <c r="C158" s="19">
        <v>0</v>
      </c>
      <c r="D158" s="19">
        <f>D146+D150+D154</f>
        <v>8493</v>
      </c>
      <c r="E158" s="19">
        <v>6</v>
      </c>
      <c r="F158" s="19">
        <f>F146+F154</f>
        <v>755</v>
      </c>
      <c r="G158" s="19">
        <f>SUM(C158:F158)</f>
        <v>9254</v>
      </c>
    </row>
    <row r="159" spans="2:8" x14ac:dyDescent="0.25">
      <c r="B159" s="18" t="s">
        <v>84</v>
      </c>
      <c r="C159" s="19">
        <v>0</v>
      </c>
      <c r="D159" s="19">
        <f>D147+D151+D155</f>
        <v>325.50923800000004</v>
      </c>
      <c r="E159" s="19">
        <v>0.14899999999999999</v>
      </c>
      <c r="F159" s="19">
        <f>F147+F155</f>
        <v>8.2257499999999997</v>
      </c>
      <c r="G159" s="22">
        <f>SUM(C159:F159)</f>
        <v>333.88398800000004</v>
      </c>
    </row>
    <row r="160" spans="2:8" x14ac:dyDescent="0.25">
      <c r="B160" s="69"/>
      <c r="C160" s="69"/>
      <c r="D160" s="69"/>
      <c r="E160" s="69"/>
      <c r="F160" s="69"/>
      <c r="G160" s="69"/>
      <c r="H160" s="69"/>
    </row>
    <row r="161" spans="2:8" x14ac:dyDescent="0.25">
      <c r="B161" s="68" t="s">
        <v>85</v>
      </c>
      <c r="C161" s="68"/>
      <c r="D161" s="68"/>
      <c r="E161" s="68"/>
      <c r="F161" s="68"/>
      <c r="G161" s="68"/>
    </row>
    <row r="162" spans="2:8" x14ac:dyDescent="0.25">
      <c r="B162" s="14" t="s">
        <v>80</v>
      </c>
      <c r="C162" s="28">
        <v>3013</v>
      </c>
      <c r="D162" s="28">
        <v>37518</v>
      </c>
      <c r="E162" s="28">
        <v>3655</v>
      </c>
      <c r="F162" s="28">
        <v>19705</v>
      </c>
      <c r="G162" s="28">
        <f>SUM(C162:F162)</f>
        <v>63891</v>
      </c>
    </row>
    <row r="163" spans="2:8" x14ac:dyDescent="0.25">
      <c r="B163" s="14" t="s">
        <v>81</v>
      </c>
      <c r="C163" s="28">
        <v>73.672416999999996</v>
      </c>
      <c r="D163" s="28">
        <v>149.23172499999998</v>
      </c>
      <c r="E163" s="28">
        <v>57.776862999999999</v>
      </c>
      <c r="F163" s="28">
        <v>128.17786599999999</v>
      </c>
      <c r="G163" s="11">
        <f>SUM(C163:F163)</f>
        <v>408.85887099999997</v>
      </c>
    </row>
    <row r="164" spans="2:8" x14ac:dyDescent="0.25">
      <c r="B164" s="69"/>
      <c r="C164" s="69"/>
      <c r="D164" s="69"/>
      <c r="E164" s="69"/>
      <c r="F164" s="69"/>
      <c r="G164" s="69"/>
    </row>
    <row r="165" spans="2:8" x14ac:dyDescent="0.25">
      <c r="B165" s="74" t="s">
        <v>86</v>
      </c>
      <c r="C165" s="75"/>
      <c r="D165" s="75"/>
      <c r="E165" s="75"/>
      <c r="F165" s="75"/>
      <c r="G165" s="76"/>
    </row>
    <row r="166" spans="2:8" x14ac:dyDescent="0.25">
      <c r="B166" s="70" t="s">
        <v>87</v>
      </c>
      <c r="C166" s="71"/>
      <c r="D166" s="71"/>
      <c r="E166" s="71"/>
      <c r="F166" s="71"/>
      <c r="G166" s="72"/>
    </row>
    <row r="167" spans="2:8" x14ac:dyDescent="0.25">
      <c r="B167" s="14" t="s">
        <v>88</v>
      </c>
      <c r="C167" s="28">
        <v>330</v>
      </c>
      <c r="D167" s="28">
        <v>2980</v>
      </c>
      <c r="E167" s="28">
        <v>444</v>
      </c>
      <c r="F167" s="28">
        <v>436</v>
      </c>
      <c r="G167" s="28">
        <f>SUM(C167:F167)</f>
        <v>4190</v>
      </c>
    </row>
    <row r="168" spans="2:8" x14ac:dyDescent="0.25">
      <c r="B168" s="14" t="s">
        <v>89</v>
      </c>
      <c r="C168" s="28">
        <v>8.25</v>
      </c>
      <c r="D168" s="28">
        <v>66.174367000000018</v>
      </c>
      <c r="E168" s="28">
        <f>7330000/1000000</f>
        <v>7.33</v>
      </c>
      <c r="F168" s="28">
        <v>15.69</v>
      </c>
      <c r="G168" s="11">
        <f>SUM(C168:F168)</f>
        <v>97.444367000000014</v>
      </c>
    </row>
    <row r="169" spans="2:8" x14ac:dyDescent="0.25">
      <c r="B169" s="69"/>
      <c r="C169" s="69"/>
      <c r="D169" s="69"/>
      <c r="E169" s="69"/>
      <c r="F169" s="69"/>
      <c r="G169" s="69"/>
    </row>
    <row r="170" spans="2:8" x14ac:dyDescent="0.25">
      <c r="B170" s="70" t="s">
        <v>90</v>
      </c>
      <c r="C170" s="71"/>
      <c r="D170" s="71"/>
      <c r="E170" s="71"/>
      <c r="F170" s="71"/>
      <c r="G170" s="72"/>
    </row>
    <row r="171" spans="2:8" x14ac:dyDescent="0.25">
      <c r="B171" s="14" t="s">
        <v>91</v>
      </c>
      <c r="C171" s="28">
        <v>1414</v>
      </c>
      <c r="D171" s="28">
        <v>584</v>
      </c>
      <c r="E171" s="28">
        <v>114</v>
      </c>
      <c r="F171" s="28">
        <v>308</v>
      </c>
      <c r="G171" s="28">
        <f>SUM(C171:F171)</f>
        <v>2420</v>
      </c>
    </row>
    <row r="172" spans="2:8" x14ac:dyDescent="0.25">
      <c r="B172" s="14" t="s">
        <v>89</v>
      </c>
      <c r="C172" s="28">
        <v>31.108000000000001</v>
      </c>
      <c r="D172" s="28">
        <v>12.263999999999999</v>
      </c>
      <c r="E172" s="28">
        <f>2850000/1000000</f>
        <v>2.85</v>
      </c>
      <c r="F172" s="28">
        <v>6.7720000000000002</v>
      </c>
      <c r="G172" s="11">
        <f>SUM(C172:F172)</f>
        <v>52.994</v>
      </c>
    </row>
    <row r="173" spans="2:8" x14ac:dyDescent="0.25">
      <c r="B173" s="69"/>
      <c r="C173" s="69"/>
      <c r="D173" s="69"/>
      <c r="E173" s="69"/>
      <c r="F173" s="69"/>
      <c r="G173" s="69"/>
      <c r="H173" s="69"/>
    </row>
    <row r="174" spans="2:8" x14ac:dyDescent="0.25">
      <c r="B174" s="70" t="s">
        <v>92</v>
      </c>
      <c r="C174" s="71"/>
      <c r="D174" s="71"/>
      <c r="E174" s="71"/>
      <c r="F174" s="71"/>
      <c r="G174" s="72"/>
    </row>
    <row r="175" spans="2:8" x14ac:dyDescent="0.25">
      <c r="B175" s="14" t="s">
        <v>91</v>
      </c>
      <c r="C175" s="28">
        <v>293</v>
      </c>
      <c r="D175" s="28">
        <v>216</v>
      </c>
      <c r="E175" s="28">
        <v>176</v>
      </c>
      <c r="F175" s="28">
        <v>38</v>
      </c>
      <c r="G175" s="28">
        <f>SUM(C175:F175)</f>
        <v>723</v>
      </c>
    </row>
    <row r="176" spans="2:8" x14ac:dyDescent="0.25">
      <c r="B176" s="14" t="s">
        <v>89</v>
      </c>
      <c r="C176" s="28">
        <v>20.51</v>
      </c>
      <c r="D176" s="28">
        <v>22.52</v>
      </c>
      <c r="E176" s="28">
        <f>10476821/1000000</f>
        <v>10.476820999999999</v>
      </c>
      <c r="F176" s="28">
        <v>3.82</v>
      </c>
      <c r="G176" s="11">
        <f>SUM(C176:F176)</f>
        <v>57.326821000000002</v>
      </c>
    </row>
    <row r="177" spans="2:8" x14ac:dyDescent="0.25">
      <c r="B177" s="69"/>
      <c r="C177" s="69"/>
      <c r="D177" s="69"/>
      <c r="E177" s="69"/>
      <c r="F177" s="69"/>
      <c r="G177" s="69"/>
      <c r="H177" s="69"/>
    </row>
    <row r="178" spans="2:8" x14ac:dyDescent="0.25">
      <c r="B178" s="70" t="s">
        <v>93</v>
      </c>
      <c r="C178" s="71"/>
      <c r="D178" s="71"/>
      <c r="E178" s="71"/>
      <c r="F178" s="71"/>
      <c r="G178" s="72"/>
    </row>
    <row r="179" spans="2:8" x14ac:dyDescent="0.25">
      <c r="B179" s="14" t="s">
        <v>91</v>
      </c>
      <c r="C179" s="28">
        <v>261</v>
      </c>
      <c r="D179" s="28">
        <v>181819</v>
      </c>
      <c r="E179" s="28">
        <v>0</v>
      </c>
      <c r="F179" s="28">
        <v>0</v>
      </c>
      <c r="G179" s="28">
        <f>SUM(C179:F179)</f>
        <v>182080</v>
      </c>
    </row>
    <row r="180" spans="2:8" x14ac:dyDescent="0.25">
      <c r="B180" s="14" t="s">
        <v>89</v>
      </c>
      <c r="C180" s="28">
        <v>8.09</v>
      </c>
      <c r="D180" s="28">
        <v>2567.60312968063</v>
      </c>
      <c r="E180" s="28">
        <v>0</v>
      </c>
      <c r="F180" s="28">
        <v>0</v>
      </c>
      <c r="G180" s="11">
        <f>SUM(C180:F180)</f>
        <v>2575.6931296806301</v>
      </c>
    </row>
    <row r="181" spans="2:8" x14ac:dyDescent="0.25">
      <c r="B181" s="69"/>
      <c r="C181" s="69"/>
      <c r="D181" s="69"/>
      <c r="E181" s="69"/>
      <c r="F181" s="69"/>
      <c r="G181" s="69"/>
      <c r="H181" s="69"/>
    </row>
    <row r="182" spans="2:8" x14ac:dyDescent="0.25">
      <c r="B182" s="68" t="s">
        <v>94</v>
      </c>
      <c r="C182" s="68"/>
      <c r="D182" s="68"/>
      <c r="E182" s="68"/>
      <c r="F182" s="68"/>
      <c r="G182" s="68"/>
    </row>
    <row r="183" spans="2:8" x14ac:dyDescent="0.25">
      <c r="B183" s="18" t="s">
        <v>95</v>
      </c>
      <c r="C183" s="19">
        <f>+C179+C175+C171+C167</f>
        <v>2298</v>
      </c>
      <c r="D183" s="19">
        <f>D167+D171+D175+D179</f>
        <v>185599</v>
      </c>
      <c r="E183" s="19">
        <f t="shared" ref="E183:E184" si="4">+E179+E175+E171+E167</f>
        <v>734</v>
      </c>
      <c r="F183" s="19">
        <f>+F179+F175+F171+F167</f>
        <v>782</v>
      </c>
      <c r="G183" s="19">
        <f>SUM(C183:F183)</f>
        <v>189413</v>
      </c>
    </row>
    <row r="184" spans="2:8" x14ac:dyDescent="0.25">
      <c r="B184" s="18" t="s">
        <v>96</v>
      </c>
      <c r="C184" s="19">
        <f>+C180+C176+C172+C168</f>
        <v>67.957999999999998</v>
      </c>
      <c r="D184" s="19">
        <f>D168+D172+D176+D180</f>
        <v>2668.5614966806302</v>
      </c>
      <c r="E184" s="19">
        <f t="shared" si="4"/>
        <v>20.656821000000001</v>
      </c>
      <c r="F184" s="19">
        <f>+F180+F176+F172+F168</f>
        <v>26.282</v>
      </c>
      <c r="G184" s="22">
        <f>SUM(C184:F184)</f>
        <v>2783.4583176806304</v>
      </c>
    </row>
    <row r="185" spans="2:8" x14ac:dyDescent="0.25">
      <c r="B185" s="69"/>
      <c r="C185" s="69"/>
      <c r="D185" s="69"/>
      <c r="E185" s="69"/>
      <c r="F185" s="69"/>
      <c r="G185" s="69"/>
      <c r="H185" s="69"/>
    </row>
    <row r="186" spans="2:8" x14ac:dyDescent="0.25">
      <c r="B186" s="68" t="s">
        <v>97</v>
      </c>
      <c r="C186" s="68"/>
      <c r="D186" s="68"/>
      <c r="E186" s="68"/>
      <c r="F186" s="68"/>
      <c r="G186" s="68"/>
    </row>
    <row r="187" spans="2:8" x14ac:dyDescent="0.25">
      <c r="B187" s="14" t="s">
        <v>98</v>
      </c>
      <c r="C187" s="28">
        <v>6137</v>
      </c>
      <c r="D187" s="28">
        <v>5697</v>
      </c>
      <c r="E187" s="28">
        <v>57</v>
      </c>
      <c r="F187" s="28">
        <v>21243</v>
      </c>
      <c r="G187" s="28">
        <f>SUM(C187:F187)</f>
        <v>33134</v>
      </c>
    </row>
    <row r="188" spans="2:8" x14ac:dyDescent="0.25">
      <c r="B188" s="14" t="s">
        <v>99</v>
      </c>
      <c r="C188" s="28">
        <f>46673317/1000000</f>
        <v>46.673316999999997</v>
      </c>
      <c r="D188" s="28">
        <v>129.61329700000002</v>
      </c>
      <c r="E188" s="28">
        <f>2310000/1000000</f>
        <v>2.31</v>
      </c>
      <c r="F188" s="28">
        <v>162.70561599999996</v>
      </c>
      <c r="G188" s="11">
        <f>SUM(C188:F188)</f>
        <v>341.30223000000001</v>
      </c>
    </row>
    <row r="189" spans="2:8" x14ac:dyDescent="0.25">
      <c r="B189" s="69"/>
      <c r="C189" s="69"/>
      <c r="D189" s="69"/>
      <c r="E189" s="69"/>
      <c r="F189" s="69"/>
      <c r="G189" s="69"/>
      <c r="H189" s="69"/>
    </row>
    <row r="190" spans="2:8" x14ac:dyDescent="0.25">
      <c r="B190" s="68" t="s">
        <v>100</v>
      </c>
      <c r="C190" s="68"/>
      <c r="D190" s="68"/>
      <c r="E190" s="68"/>
      <c r="F190" s="68"/>
      <c r="G190" s="68"/>
    </row>
    <row r="191" spans="2:8" x14ac:dyDescent="0.25">
      <c r="B191" s="18" t="s">
        <v>101</v>
      </c>
      <c r="C191" s="19">
        <f>C187+C162+C183</f>
        <v>11448</v>
      </c>
      <c r="D191" s="19">
        <f>+D187+D183+D162+D158</f>
        <v>237307</v>
      </c>
      <c r="E191" s="62">
        <v>4446</v>
      </c>
      <c r="F191" s="19">
        <f>F158+F162+F183+F187</f>
        <v>42485</v>
      </c>
      <c r="G191" s="19">
        <f>SUM(C191:F191)</f>
        <v>295686</v>
      </c>
    </row>
    <row r="192" spans="2:8" x14ac:dyDescent="0.25">
      <c r="B192" s="18" t="s">
        <v>102</v>
      </c>
      <c r="C192" s="19">
        <f>C188+C163+C184</f>
        <v>188.30373399999999</v>
      </c>
      <c r="D192" s="19">
        <f>+D188+D184+D163+D159</f>
        <v>3272.9157566806302</v>
      </c>
      <c r="E192" s="63">
        <v>80.743684000000002</v>
      </c>
      <c r="F192" s="19">
        <f>F159+F184+F163+F188</f>
        <v>325.39123199999995</v>
      </c>
      <c r="G192" s="22">
        <f>SUM(C192:F192)</f>
        <v>3867.3544066806303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G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D195"/>
  <sheetViews>
    <sheetView topLeftCell="A168" zoomScaleNormal="100" workbookViewId="0">
      <selection activeCell="J35" sqref="J35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3" width="17.42578125" bestFit="1" customWidth="1"/>
    <col min="4" max="4" width="16.42578125" bestFit="1" customWidth="1"/>
    <col min="5" max="5" width="16.28515625" bestFit="1" customWidth="1"/>
    <col min="6" max="6" width="18.140625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7" t="s">
        <v>1</v>
      </c>
      <c r="D2" s="88"/>
      <c r="E2" s="88"/>
      <c r="F2" s="88"/>
      <c r="G2" s="89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8" t="s">
        <v>7</v>
      </c>
      <c r="C4" s="79"/>
      <c r="D4" s="79"/>
      <c r="E4" s="79"/>
      <c r="F4" s="79"/>
      <c r="G4" s="80"/>
    </row>
    <row r="5" spans="1:7" x14ac:dyDescent="0.25">
      <c r="B5" s="74" t="s">
        <v>103</v>
      </c>
      <c r="C5" s="75"/>
      <c r="D5" s="75"/>
      <c r="E5" s="75"/>
      <c r="F5" s="75"/>
      <c r="G5" s="76"/>
    </row>
    <row r="6" spans="1:7" x14ac:dyDescent="0.25">
      <c r="B6" s="4" t="s">
        <v>104</v>
      </c>
      <c r="C6" s="12">
        <v>55135</v>
      </c>
      <c r="D6" s="12">
        <v>8198</v>
      </c>
      <c r="E6" s="12">
        <v>8929</v>
      </c>
      <c r="F6" s="12">
        <v>10389</v>
      </c>
      <c r="G6" s="12">
        <f>+F6+E6+D6+C6</f>
        <v>82651</v>
      </c>
    </row>
    <row r="7" spans="1:7" x14ac:dyDescent="0.25">
      <c r="B7" s="14" t="s">
        <v>105</v>
      </c>
      <c r="C7" s="12">
        <v>521</v>
      </c>
      <c r="D7" s="12">
        <v>222</v>
      </c>
      <c r="E7" s="12">
        <v>12</v>
      </c>
      <c r="F7" s="12">
        <v>143</v>
      </c>
      <c r="G7" s="12">
        <f>+F7+E7+D7+C7</f>
        <v>898</v>
      </c>
    </row>
    <row r="8" spans="1:7" x14ac:dyDescent="0.25">
      <c r="B8" s="18" t="s">
        <v>106</v>
      </c>
      <c r="C8" s="25">
        <v>55656</v>
      </c>
      <c r="D8" s="25">
        <v>8420</v>
      </c>
      <c r="E8" s="25">
        <v>8941</v>
      </c>
      <c r="F8" s="25">
        <v>10532</v>
      </c>
      <c r="G8" s="25">
        <f>+F8+E8+D8+C8</f>
        <v>83549</v>
      </c>
    </row>
    <row r="9" spans="1:7" x14ac:dyDescent="0.25">
      <c r="B9" s="69"/>
      <c r="C9" s="69"/>
      <c r="D9" s="69"/>
      <c r="E9" s="69"/>
      <c r="F9" s="69"/>
      <c r="G9" s="69"/>
    </row>
    <row r="10" spans="1:7" x14ac:dyDescent="0.25">
      <c r="B10" s="74" t="s">
        <v>8</v>
      </c>
      <c r="C10" s="75"/>
      <c r="D10" s="75"/>
      <c r="E10" s="75"/>
      <c r="F10" s="75"/>
      <c r="G10" s="76"/>
    </row>
    <row r="11" spans="1:7" x14ac:dyDescent="0.25">
      <c r="B11" s="70" t="s">
        <v>9</v>
      </c>
      <c r="C11" s="71"/>
      <c r="D11" s="71"/>
      <c r="E11" s="71"/>
      <c r="F11" s="71"/>
      <c r="G11" s="72"/>
    </row>
    <row r="12" spans="1:7" x14ac:dyDescent="0.25">
      <c r="B12" s="16" t="s">
        <v>10</v>
      </c>
      <c r="C12" s="12">
        <v>912524</v>
      </c>
      <c r="D12" s="12">
        <v>136586</v>
      </c>
      <c r="E12" s="64">
        <v>54338</v>
      </c>
      <c r="F12" s="12">
        <v>0</v>
      </c>
      <c r="G12" s="17">
        <f>SUM(C12:F12)</f>
        <v>1103448</v>
      </c>
    </row>
    <row r="13" spans="1:7" x14ac:dyDescent="0.25">
      <c r="B13" s="16" t="s">
        <v>11</v>
      </c>
      <c r="C13" s="12">
        <v>2293753</v>
      </c>
      <c r="D13" s="12">
        <v>533770</v>
      </c>
      <c r="E13" s="64">
        <v>228924</v>
      </c>
      <c r="F13" s="12">
        <v>0</v>
      </c>
      <c r="G13" s="17">
        <f>SUM(C13:F13)</f>
        <v>3056447</v>
      </c>
    </row>
    <row r="14" spans="1:7" x14ac:dyDescent="0.25">
      <c r="B14" s="18" t="s">
        <v>12</v>
      </c>
      <c r="C14" s="25">
        <v>3206277</v>
      </c>
      <c r="D14" s="25">
        <v>1011740</v>
      </c>
      <c r="E14" s="25">
        <v>283262</v>
      </c>
      <c r="F14" s="25">
        <v>365462</v>
      </c>
      <c r="G14" s="19">
        <f>SUM(C14:F14)</f>
        <v>4866741</v>
      </c>
    </row>
    <row r="15" spans="1:7" x14ac:dyDescent="0.25">
      <c r="B15" s="18" t="s">
        <v>13</v>
      </c>
      <c r="C15" s="25">
        <v>442448</v>
      </c>
      <c r="D15" s="25">
        <v>153678</v>
      </c>
      <c r="E15" s="25">
        <v>3060</v>
      </c>
      <c r="F15" s="25">
        <v>137262</v>
      </c>
      <c r="G15" s="19">
        <f>SUM(C15:F15)</f>
        <v>736448</v>
      </c>
    </row>
    <row r="16" spans="1:7" x14ac:dyDescent="0.25">
      <c r="B16" s="18" t="s">
        <v>14</v>
      </c>
      <c r="C16" s="25">
        <v>3648725</v>
      </c>
      <c r="D16" s="25">
        <v>1165418</v>
      </c>
      <c r="E16" s="25">
        <v>286322</v>
      </c>
      <c r="F16" s="25">
        <v>502724</v>
      </c>
      <c r="G16" s="19">
        <f>SUM(C16:F16)</f>
        <v>5603189</v>
      </c>
    </row>
    <row r="17" spans="2:8" x14ac:dyDescent="0.25">
      <c r="B17" s="69"/>
      <c r="C17" s="69"/>
      <c r="D17" s="69"/>
      <c r="E17" s="69"/>
      <c r="F17" s="69"/>
      <c r="G17" s="69"/>
    </row>
    <row r="18" spans="2:8" x14ac:dyDescent="0.25">
      <c r="B18" s="70" t="s">
        <v>15</v>
      </c>
      <c r="C18" s="71"/>
      <c r="D18" s="71"/>
      <c r="E18" s="71"/>
      <c r="F18" s="71"/>
      <c r="G18" s="72"/>
    </row>
    <row r="19" spans="2:8" x14ac:dyDescent="0.25">
      <c r="B19" s="14" t="s">
        <v>16</v>
      </c>
      <c r="C19" s="65">
        <v>3555</v>
      </c>
      <c r="D19" s="28">
        <v>4</v>
      </c>
      <c r="E19" s="17">
        <v>0</v>
      </c>
      <c r="F19" s="17">
        <v>0</v>
      </c>
      <c r="G19" s="17">
        <f>SUM(C19:F19)</f>
        <v>3559</v>
      </c>
    </row>
    <row r="20" spans="2:8" x14ac:dyDescent="0.25">
      <c r="B20" s="90"/>
      <c r="C20" s="90"/>
      <c r="D20" s="90"/>
      <c r="E20" s="90"/>
      <c r="F20" s="90"/>
      <c r="G20" s="90"/>
    </row>
    <row r="21" spans="2:8" x14ac:dyDescent="0.25">
      <c r="B21" s="18" t="s">
        <v>17</v>
      </c>
      <c r="C21" s="19">
        <v>3652280</v>
      </c>
      <c r="D21" s="19">
        <v>1165422</v>
      </c>
      <c r="E21" s="19">
        <f>+E19+E16</f>
        <v>286322</v>
      </c>
      <c r="F21" s="19">
        <f>F16</f>
        <v>502724</v>
      </c>
      <c r="G21" s="19">
        <f>SUM(C21:F21)</f>
        <v>5606748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18</v>
      </c>
      <c r="C23" s="9"/>
      <c r="D23" s="9"/>
      <c r="E23" s="9"/>
      <c r="F23" s="9"/>
      <c r="G23" s="10"/>
    </row>
    <row r="24" spans="2:8" x14ac:dyDescent="0.25">
      <c r="B24" s="18" t="s">
        <v>19</v>
      </c>
      <c r="C24" s="19">
        <v>401626</v>
      </c>
      <c r="D24" s="19">
        <v>196846</v>
      </c>
      <c r="E24" s="19">
        <v>132507</v>
      </c>
      <c r="F24" s="19">
        <v>672590</v>
      </c>
      <c r="G24" s="19">
        <f>SUM(C24:F24)</f>
        <v>1403569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20</v>
      </c>
      <c r="C26" s="9"/>
      <c r="D26" s="9"/>
      <c r="E26" s="9"/>
      <c r="F26" s="9"/>
      <c r="G26" s="10"/>
    </row>
    <row r="27" spans="2:8" x14ac:dyDescent="0.25">
      <c r="B27" s="18" t="s">
        <v>21</v>
      </c>
      <c r="C27" s="19">
        <v>4053906</v>
      </c>
      <c r="D27" s="19">
        <f>+D24+D21</f>
        <v>1362268</v>
      </c>
      <c r="E27" s="19">
        <f>+E21+E24</f>
        <v>418829</v>
      </c>
      <c r="F27" s="19">
        <f>+F24+F21</f>
        <v>1175314</v>
      </c>
      <c r="G27" s="19">
        <f>SUM(C27:F27)</f>
        <v>7010317</v>
      </c>
    </row>
    <row r="28" spans="2:8" x14ac:dyDescent="0.25">
      <c r="B28" s="69"/>
      <c r="C28" s="69"/>
      <c r="D28" s="69"/>
      <c r="E28" s="69"/>
      <c r="F28" s="69"/>
      <c r="G28" s="69"/>
      <c r="H28" s="69"/>
    </row>
    <row r="29" spans="2:8" x14ac:dyDescent="0.25">
      <c r="B29" s="74" t="s">
        <v>22</v>
      </c>
      <c r="C29" s="75"/>
      <c r="D29" s="75"/>
      <c r="E29" s="75"/>
      <c r="F29" s="75"/>
      <c r="G29" s="76"/>
    </row>
    <row r="30" spans="2:8" x14ac:dyDescent="0.25">
      <c r="B30" s="14" t="s">
        <v>23</v>
      </c>
      <c r="C30" s="28">
        <v>1225905</v>
      </c>
      <c r="D30" s="28">
        <v>118446</v>
      </c>
      <c r="E30" s="28">
        <v>81727</v>
      </c>
      <c r="F30" s="28">
        <v>192742</v>
      </c>
      <c r="G30" s="28">
        <f>SUM(C30:F30)</f>
        <v>1618820</v>
      </c>
    </row>
    <row r="31" spans="2:8" x14ac:dyDescent="0.25">
      <c r="B31" s="69"/>
      <c r="C31" s="69"/>
      <c r="D31" s="69"/>
      <c r="E31" s="69"/>
      <c r="F31" s="69"/>
      <c r="G31" s="69"/>
      <c r="H31" s="69"/>
    </row>
    <row r="32" spans="2:8" x14ac:dyDescent="0.25">
      <c r="B32" s="74" t="s">
        <v>107</v>
      </c>
      <c r="C32" s="75"/>
      <c r="D32" s="75"/>
      <c r="E32" s="75"/>
      <c r="F32" s="75"/>
      <c r="G32" s="76"/>
    </row>
    <row r="33" spans="2:9" x14ac:dyDescent="0.25">
      <c r="B33" s="14" t="s">
        <v>25</v>
      </c>
      <c r="C33" s="28">
        <v>3487081821067</v>
      </c>
      <c r="D33" s="28">
        <v>596477041857</v>
      </c>
      <c r="E33" s="28">
        <v>231041448979</v>
      </c>
      <c r="F33" s="28">
        <v>408796233458</v>
      </c>
      <c r="G33" s="28">
        <f>SUM(C33:F33)</f>
        <v>4723396545361</v>
      </c>
    </row>
    <row r="34" spans="2:9" x14ac:dyDescent="0.25">
      <c r="B34" s="14" t="s">
        <v>26</v>
      </c>
      <c r="C34" s="28">
        <v>156843962356</v>
      </c>
      <c r="D34" s="28">
        <v>66547197556</v>
      </c>
      <c r="E34" s="28">
        <v>37044174400</v>
      </c>
      <c r="F34" s="28">
        <v>194623568369</v>
      </c>
      <c r="G34" s="28">
        <f>SUM(C34:F34)</f>
        <v>455058902681</v>
      </c>
    </row>
    <row r="35" spans="2:9" x14ac:dyDescent="0.25">
      <c r="B35" s="46" t="s">
        <v>27</v>
      </c>
      <c r="C35" s="19">
        <v>3643925783423</v>
      </c>
      <c r="D35" s="19">
        <v>663024239413</v>
      </c>
      <c r="E35" s="19">
        <v>268085623379</v>
      </c>
      <c r="F35" s="19">
        <v>603419801827</v>
      </c>
      <c r="G35" s="47">
        <f>SUM(C35:F35)</f>
        <v>5178455448042</v>
      </c>
    </row>
    <row r="36" spans="2:9" x14ac:dyDescent="0.25">
      <c r="B36" s="85" t="s">
        <v>108</v>
      </c>
      <c r="C36" s="85"/>
      <c r="D36" s="85"/>
      <c r="E36" s="85"/>
      <c r="F36" s="85"/>
      <c r="G36" s="85"/>
      <c r="H36"/>
    </row>
    <row r="37" spans="2:9" x14ac:dyDescent="0.25">
      <c r="B37" s="45"/>
      <c r="C37" s="45"/>
      <c r="D37" s="45"/>
      <c r="E37" s="45"/>
      <c r="F37" s="45"/>
      <c r="G37" s="45"/>
      <c r="H37" s="45"/>
    </row>
    <row r="38" spans="2:9" ht="21" x14ac:dyDescent="0.35">
      <c r="B38" s="78" t="s">
        <v>28</v>
      </c>
      <c r="C38" s="79"/>
      <c r="D38" s="79"/>
      <c r="E38" s="79"/>
      <c r="F38" s="79"/>
      <c r="G38" s="80"/>
    </row>
    <row r="39" spans="2:9" x14ac:dyDescent="0.25">
      <c r="B39" s="74" t="s">
        <v>29</v>
      </c>
      <c r="C39" s="75"/>
      <c r="D39" s="75"/>
      <c r="E39" s="75"/>
      <c r="F39" s="75"/>
      <c r="G39" s="76"/>
    </row>
    <row r="40" spans="2:9" x14ac:dyDescent="0.25">
      <c r="B40" s="14" t="s">
        <v>30</v>
      </c>
      <c r="C40" s="28">
        <v>640675</v>
      </c>
      <c r="D40" s="28">
        <v>101912</v>
      </c>
      <c r="E40" s="28">
        <v>48966</v>
      </c>
      <c r="F40" s="28">
        <v>58655</v>
      </c>
      <c r="G40" s="28">
        <f>SUM(C40:F40)</f>
        <v>850208</v>
      </c>
      <c r="H40" s="7"/>
      <c r="I40" s="7"/>
    </row>
    <row r="41" spans="2:9" x14ac:dyDescent="0.25">
      <c r="B41" s="14" t="s">
        <v>31</v>
      </c>
      <c r="C41" s="28">
        <v>2606</v>
      </c>
      <c r="D41" s="28">
        <v>887.8</v>
      </c>
      <c r="E41" s="28">
        <v>377</v>
      </c>
      <c r="F41" s="12">
        <v>440</v>
      </c>
      <c r="G41" s="11">
        <f>SUM(C41:F41)</f>
        <v>4310.8</v>
      </c>
      <c r="H41" s="7"/>
      <c r="I41" s="7"/>
    </row>
    <row r="42" spans="2:9" x14ac:dyDescent="0.25">
      <c r="B42" s="69"/>
      <c r="C42" s="69"/>
      <c r="D42" s="69"/>
      <c r="E42" s="69"/>
      <c r="F42" s="69"/>
      <c r="G42" s="69"/>
      <c r="H42" s="69"/>
      <c r="I42" s="7"/>
    </row>
    <row r="43" spans="2:9" x14ac:dyDescent="0.25">
      <c r="B43" s="68" t="s">
        <v>109</v>
      </c>
      <c r="C43" s="68"/>
      <c r="D43" s="68"/>
      <c r="E43" s="68"/>
      <c r="F43" s="68"/>
      <c r="G43" s="68"/>
      <c r="I43" s="7"/>
    </row>
    <row r="44" spans="2:9" x14ac:dyDescent="0.25">
      <c r="B44" s="14" t="s">
        <v>111</v>
      </c>
      <c r="C44">
        <v>8</v>
      </c>
      <c r="D44" s="28">
        <v>4</v>
      </c>
      <c r="E44" s="40">
        <v>3</v>
      </c>
      <c r="F44" s="28">
        <v>5</v>
      </c>
      <c r="G44" s="28">
        <f>SUM(C44:F44)</f>
        <v>20</v>
      </c>
      <c r="H44" s="7"/>
      <c r="I44" s="7"/>
    </row>
    <row r="45" spans="2:9" x14ac:dyDescent="0.25">
      <c r="B45" s="14" t="s">
        <v>112</v>
      </c>
      <c r="C45" s="28">
        <v>5</v>
      </c>
      <c r="D45" s="13">
        <v>0.14000000000000001</v>
      </c>
      <c r="E45" s="61">
        <v>0.01</v>
      </c>
      <c r="F45" s="28">
        <v>0.121561</v>
      </c>
      <c r="G45" s="11">
        <f>SUM(C45:F45)</f>
        <v>5.2715609999999993</v>
      </c>
      <c r="H45" s="7"/>
      <c r="I45" s="7"/>
    </row>
    <row r="46" spans="2:9" x14ac:dyDescent="0.25">
      <c r="B46" s="69"/>
      <c r="C46" s="69"/>
      <c r="D46" s="69"/>
      <c r="E46" s="69"/>
      <c r="F46" s="69"/>
      <c r="G46" s="69"/>
      <c r="H46" s="69"/>
      <c r="I46" s="7"/>
    </row>
    <row r="47" spans="2:9" x14ac:dyDescent="0.25">
      <c r="B47" s="68" t="s">
        <v>110</v>
      </c>
      <c r="C47" s="68"/>
      <c r="D47" s="68"/>
      <c r="E47" s="68"/>
      <c r="F47" s="68"/>
      <c r="G47" s="68"/>
      <c r="I47" s="7"/>
    </row>
    <row r="48" spans="2:9" x14ac:dyDescent="0.25">
      <c r="B48" s="14" t="s">
        <v>113</v>
      </c>
      <c r="C48" s="28">
        <v>161571</v>
      </c>
      <c r="D48" s="28">
        <v>90898</v>
      </c>
      <c r="E48" s="28">
        <v>14246</v>
      </c>
      <c r="F48" s="28">
        <v>68336</v>
      </c>
      <c r="G48" s="28">
        <f>SUM(C48:F48)</f>
        <v>335051</v>
      </c>
      <c r="H48" s="7"/>
      <c r="I48" s="7"/>
    </row>
    <row r="49" spans="2:9" x14ac:dyDescent="0.25">
      <c r="B49" s="14" t="s">
        <v>114</v>
      </c>
      <c r="C49" s="28">
        <v>84481</v>
      </c>
      <c r="D49" s="28">
        <v>29464</v>
      </c>
      <c r="E49" s="28">
        <v>10412</v>
      </c>
      <c r="F49" s="12">
        <v>11827</v>
      </c>
      <c r="G49" s="11">
        <f>SUM(C49:F49)</f>
        <v>136184</v>
      </c>
      <c r="H49" s="7"/>
      <c r="I49" s="7"/>
    </row>
    <row r="50" spans="2:9" x14ac:dyDescent="0.25">
      <c r="B50" s="69"/>
      <c r="C50" s="69"/>
      <c r="D50" s="69"/>
      <c r="E50" s="69"/>
      <c r="F50" s="69"/>
      <c r="G50" s="69"/>
      <c r="H50" s="69"/>
    </row>
    <row r="51" spans="2:9" ht="21" x14ac:dyDescent="0.35">
      <c r="B51" s="78" t="s">
        <v>38</v>
      </c>
      <c r="C51" s="79"/>
      <c r="D51" s="79"/>
      <c r="E51" s="79"/>
      <c r="F51" s="79"/>
      <c r="G51" s="80"/>
    </row>
    <row r="52" spans="2:9" x14ac:dyDescent="0.25">
      <c r="B52" s="86"/>
      <c r="C52" s="86"/>
      <c r="D52" s="86"/>
      <c r="E52" s="86"/>
      <c r="F52" s="86"/>
      <c r="G52" s="86"/>
      <c r="H52" s="86"/>
    </row>
    <row r="53" spans="2:9" x14ac:dyDescent="0.25">
      <c r="B53" s="68" t="s">
        <v>39</v>
      </c>
      <c r="C53" s="68"/>
      <c r="D53" s="68"/>
      <c r="E53" s="68"/>
      <c r="F53" s="68"/>
      <c r="G53" s="68"/>
    </row>
    <row r="54" spans="2:9" x14ac:dyDescent="0.25">
      <c r="B54" s="73" t="s">
        <v>40</v>
      </c>
      <c r="C54" s="73"/>
      <c r="D54" s="73"/>
      <c r="E54" s="73"/>
      <c r="F54" s="73"/>
      <c r="G54" s="73"/>
    </row>
    <row r="55" spans="2:9" x14ac:dyDescent="0.25">
      <c r="B55" s="14" t="s">
        <v>41</v>
      </c>
      <c r="C55" s="28">
        <v>78871</v>
      </c>
      <c r="D55" s="28">
        <v>6239</v>
      </c>
      <c r="E55" s="28">
        <v>1880</v>
      </c>
      <c r="F55" s="28">
        <v>5212</v>
      </c>
      <c r="G55" s="28">
        <f t="shared" ref="G55:G71" si="0">SUM(C55:F55)</f>
        <v>92202</v>
      </c>
    </row>
    <row r="56" spans="2:9" x14ac:dyDescent="0.25">
      <c r="B56" s="14" t="s">
        <v>42</v>
      </c>
      <c r="C56" s="28">
        <v>71302</v>
      </c>
      <c r="D56" s="28">
        <v>10102</v>
      </c>
      <c r="E56" s="28">
        <v>3337</v>
      </c>
      <c r="F56" s="28">
        <v>12129</v>
      </c>
      <c r="G56" s="28">
        <f t="shared" si="0"/>
        <v>96870</v>
      </c>
    </row>
    <row r="57" spans="2:9" x14ac:dyDescent="0.25">
      <c r="B57" s="14" t="s">
        <v>43</v>
      </c>
      <c r="C57" s="28">
        <v>17</v>
      </c>
      <c r="D57" s="28">
        <v>39</v>
      </c>
      <c r="E57" s="28">
        <v>26</v>
      </c>
      <c r="F57" s="28">
        <v>32</v>
      </c>
      <c r="G57" s="28">
        <f>AVERAGE(C57:F57)</f>
        <v>28.5</v>
      </c>
    </row>
    <row r="58" spans="2:9" x14ac:dyDescent="0.25">
      <c r="B58" s="14" t="s">
        <v>44</v>
      </c>
      <c r="C58" s="28">
        <v>840078</v>
      </c>
      <c r="D58" s="28">
        <v>160383</v>
      </c>
      <c r="E58" s="28">
        <v>51704</v>
      </c>
      <c r="F58" s="28">
        <v>68546</v>
      </c>
      <c r="G58" s="28">
        <f t="shared" si="0"/>
        <v>1120711</v>
      </c>
    </row>
    <row r="59" spans="2:9" x14ac:dyDescent="0.25">
      <c r="B59" s="14" t="s">
        <v>115</v>
      </c>
      <c r="C59" s="28">
        <v>1738024</v>
      </c>
      <c r="D59" s="28">
        <v>322232</v>
      </c>
      <c r="E59" s="28">
        <v>113265</v>
      </c>
      <c r="F59" s="28">
        <v>144670</v>
      </c>
      <c r="G59" s="11">
        <f t="shared" si="0"/>
        <v>2318191</v>
      </c>
    </row>
    <row r="60" spans="2:9" x14ac:dyDescent="0.25">
      <c r="B60" s="73" t="s">
        <v>45</v>
      </c>
      <c r="C60" s="73"/>
      <c r="D60" s="73"/>
      <c r="E60" s="73"/>
      <c r="F60" s="73"/>
      <c r="G60" s="73"/>
    </row>
    <row r="61" spans="2:9" x14ac:dyDescent="0.25">
      <c r="B61" s="14" t="s">
        <v>41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42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43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44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115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3" t="s">
        <v>46</v>
      </c>
      <c r="C66" s="73"/>
      <c r="D66" s="73"/>
      <c r="E66" s="73"/>
      <c r="F66" s="73"/>
      <c r="G66" s="73"/>
    </row>
    <row r="67" spans="2:8" x14ac:dyDescent="0.25">
      <c r="B67" s="14" t="s">
        <v>41</v>
      </c>
      <c r="C67" s="28">
        <v>8976</v>
      </c>
      <c r="D67" s="28">
        <v>2278</v>
      </c>
      <c r="E67" s="28">
        <v>1439</v>
      </c>
      <c r="F67" s="28">
        <v>14258</v>
      </c>
      <c r="G67" s="28">
        <f t="shared" si="0"/>
        <v>26951</v>
      </c>
    </row>
    <row r="68" spans="2:8" x14ac:dyDescent="0.25">
      <c r="B68" s="14" t="s">
        <v>42</v>
      </c>
      <c r="C68" s="28">
        <v>7267</v>
      </c>
      <c r="D68" s="28">
        <v>2470</v>
      </c>
      <c r="E68" s="28">
        <v>1308</v>
      </c>
      <c r="F68" s="28">
        <v>16908</v>
      </c>
      <c r="G68" s="28">
        <f t="shared" si="0"/>
        <v>27953</v>
      </c>
    </row>
    <row r="69" spans="2:8" x14ac:dyDescent="0.25">
      <c r="B69" s="14" t="s">
        <v>43</v>
      </c>
      <c r="C69" s="28">
        <v>40</v>
      </c>
      <c r="D69" s="28">
        <v>55</v>
      </c>
      <c r="E69" s="28">
        <v>49</v>
      </c>
      <c r="F69" s="28">
        <v>40</v>
      </c>
      <c r="G69" s="28">
        <f>AVERAGE(C69:F69)</f>
        <v>46</v>
      </c>
    </row>
    <row r="70" spans="2:8" x14ac:dyDescent="0.25">
      <c r="B70" s="14" t="s">
        <v>44</v>
      </c>
      <c r="C70" s="28">
        <v>116293</v>
      </c>
      <c r="D70" s="28">
        <v>87130</v>
      </c>
      <c r="E70" s="28">
        <v>54551</v>
      </c>
      <c r="F70" s="28">
        <v>246056</v>
      </c>
      <c r="G70" s="28">
        <f t="shared" si="0"/>
        <v>504030</v>
      </c>
    </row>
    <row r="71" spans="2:8" x14ac:dyDescent="0.25">
      <c r="B71" s="14" t="s">
        <v>115</v>
      </c>
      <c r="C71" s="28">
        <v>112744</v>
      </c>
      <c r="D71" s="28">
        <v>92117</v>
      </c>
      <c r="E71" s="28">
        <v>55058</v>
      </c>
      <c r="F71" s="28">
        <v>208042</v>
      </c>
      <c r="G71" s="11">
        <f t="shared" si="0"/>
        <v>467961</v>
      </c>
    </row>
    <row r="72" spans="2:8" x14ac:dyDescent="0.25">
      <c r="B72" s="82" t="s">
        <v>47</v>
      </c>
      <c r="C72" s="83"/>
      <c r="D72" s="83"/>
      <c r="E72" s="83"/>
      <c r="F72" s="83"/>
      <c r="G72" s="84"/>
    </row>
    <row r="73" spans="2:8" x14ac:dyDescent="0.25">
      <c r="B73" s="18" t="s">
        <v>116</v>
      </c>
      <c r="C73" s="19">
        <f>+C55+C67</f>
        <v>87847</v>
      </c>
      <c r="D73" s="19">
        <f>+D67+D61+D55</f>
        <v>8517</v>
      </c>
      <c r="E73" s="19">
        <f t="shared" ref="E73:E74" si="1">+E67+E61+E55</f>
        <v>3319</v>
      </c>
      <c r="F73" s="19">
        <f>+F55+F67</f>
        <v>19470</v>
      </c>
      <c r="G73" s="19">
        <f>SUM(C73:F73)</f>
        <v>119153</v>
      </c>
    </row>
    <row r="74" spans="2:8" x14ac:dyDescent="0.25">
      <c r="B74" s="18" t="s">
        <v>42</v>
      </c>
      <c r="C74" s="19">
        <f>+C56+C68</f>
        <v>78569</v>
      </c>
      <c r="D74" s="19">
        <f t="shared" ref="D74:E77" si="2">+D68+D62+D56</f>
        <v>12572</v>
      </c>
      <c r="E74" s="19">
        <f t="shared" si="1"/>
        <v>4645</v>
      </c>
      <c r="F74" s="19">
        <f>+F56+F68</f>
        <v>29037</v>
      </c>
      <c r="G74" s="22">
        <f>SUM(C74:F74)</f>
        <v>124823</v>
      </c>
    </row>
    <row r="75" spans="2:8" x14ac:dyDescent="0.25">
      <c r="B75" s="18" t="s">
        <v>43</v>
      </c>
      <c r="C75" s="19">
        <v>0</v>
      </c>
      <c r="D75" s="19">
        <f>(+D57+D63+D69)/3</f>
        <v>31.333333333333332</v>
      </c>
      <c r="E75" s="19">
        <v>0</v>
      </c>
      <c r="F75" s="19">
        <f>(F57+F69)/2</f>
        <v>36</v>
      </c>
      <c r="G75" s="19">
        <f>AVERAGE(C75:F75)</f>
        <v>16.833333333333332</v>
      </c>
    </row>
    <row r="76" spans="2:8" x14ac:dyDescent="0.25">
      <c r="B76" s="18" t="s">
        <v>44</v>
      </c>
      <c r="C76" s="19">
        <f>+C58+C70</f>
        <v>956371</v>
      </c>
      <c r="D76" s="19">
        <f t="shared" si="2"/>
        <v>247513</v>
      </c>
      <c r="E76" s="19">
        <f t="shared" si="2"/>
        <v>106255</v>
      </c>
      <c r="F76" s="19">
        <f>+F58+F70</f>
        <v>314602</v>
      </c>
      <c r="G76" s="19">
        <f>SUM(C76:F76)</f>
        <v>1624741</v>
      </c>
    </row>
    <row r="77" spans="2:8" x14ac:dyDescent="0.25">
      <c r="B77" s="18" t="s">
        <v>115</v>
      </c>
      <c r="C77" s="19">
        <f>+C59+C71</f>
        <v>1850768</v>
      </c>
      <c r="D77" s="19">
        <f>+D71+D65+D59</f>
        <v>414349</v>
      </c>
      <c r="E77" s="19">
        <f t="shared" si="2"/>
        <v>168323</v>
      </c>
      <c r="F77" s="19">
        <f>+F59+F71</f>
        <v>352712</v>
      </c>
      <c r="G77" s="22">
        <f>SUM(C77:F77)</f>
        <v>2786152</v>
      </c>
    </row>
    <row r="78" spans="2:8" x14ac:dyDescent="0.25">
      <c r="B78" s="69"/>
      <c r="C78" s="69"/>
      <c r="D78" s="69"/>
      <c r="E78" s="69"/>
      <c r="F78" s="69"/>
      <c r="G78" s="69"/>
      <c r="H78" s="69"/>
    </row>
    <row r="79" spans="2:8" x14ac:dyDescent="0.25">
      <c r="B79" s="74" t="s">
        <v>48</v>
      </c>
      <c r="C79" s="75"/>
      <c r="D79" s="75"/>
      <c r="E79" s="75"/>
      <c r="F79" s="75"/>
      <c r="G79" s="76"/>
    </row>
    <row r="80" spans="2:8" x14ac:dyDescent="0.25">
      <c r="B80" s="70" t="s">
        <v>40</v>
      </c>
      <c r="C80" s="71"/>
      <c r="D80" s="71"/>
      <c r="E80" s="71"/>
      <c r="F80" s="71"/>
      <c r="G80" s="72"/>
    </row>
    <row r="81" spans="2:7" x14ac:dyDescent="0.25">
      <c r="B81" s="14" t="s">
        <v>41</v>
      </c>
      <c r="C81" s="24">
        <v>0</v>
      </c>
      <c r="D81" s="24">
        <v>0</v>
      </c>
      <c r="E81" s="24">
        <v>0</v>
      </c>
      <c r="F81" s="28">
        <v>0</v>
      </c>
      <c r="G81" s="20">
        <f>SUM(C81:F81)</f>
        <v>0</v>
      </c>
    </row>
    <row r="82" spans="2:7" x14ac:dyDescent="0.25">
      <c r="B82" s="14" t="s">
        <v>42</v>
      </c>
      <c r="C82" s="24">
        <v>0</v>
      </c>
      <c r="D82" s="24">
        <v>0</v>
      </c>
      <c r="E82" s="24">
        <v>0</v>
      </c>
      <c r="F82" s="28">
        <v>0</v>
      </c>
      <c r="G82" s="24">
        <f>SUM(C82:F82)</f>
        <v>0</v>
      </c>
    </row>
    <row r="83" spans="2:7" x14ac:dyDescent="0.25">
      <c r="B83" s="14" t="s">
        <v>43</v>
      </c>
      <c r="C83" s="24">
        <v>0</v>
      </c>
      <c r="D83" s="24">
        <v>0</v>
      </c>
      <c r="E83" s="24">
        <v>0</v>
      </c>
      <c r="F83" s="28">
        <v>0</v>
      </c>
      <c r="G83" s="24">
        <f>AVERAGE(C83:F83)</f>
        <v>0</v>
      </c>
    </row>
    <row r="84" spans="2:7" x14ac:dyDescent="0.25">
      <c r="B84" s="14" t="s">
        <v>44</v>
      </c>
      <c r="C84" s="28">
        <v>1028</v>
      </c>
      <c r="D84" s="28">
        <v>121</v>
      </c>
      <c r="E84" s="28">
        <v>6</v>
      </c>
      <c r="F84" s="24">
        <v>102</v>
      </c>
      <c r="G84" s="24">
        <f>SUM(C84:F84)</f>
        <v>1257</v>
      </c>
    </row>
    <row r="85" spans="2:7" x14ac:dyDescent="0.25">
      <c r="B85" s="14" t="s">
        <v>115</v>
      </c>
      <c r="C85" s="28">
        <v>22214</v>
      </c>
      <c r="D85" s="28">
        <v>1509</v>
      </c>
      <c r="E85" s="28">
        <v>79</v>
      </c>
      <c r="F85" s="28">
        <v>1967</v>
      </c>
      <c r="G85" s="11">
        <f>SUM(C85:F85)</f>
        <v>25769</v>
      </c>
    </row>
    <row r="86" spans="2:7" x14ac:dyDescent="0.25">
      <c r="B86" s="70" t="s">
        <v>45</v>
      </c>
      <c r="C86" s="71"/>
      <c r="D86" s="71"/>
      <c r="E86" s="71"/>
      <c r="F86" s="71"/>
      <c r="G86" s="72"/>
    </row>
    <row r="87" spans="2:7" x14ac:dyDescent="0.25">
      <c r="B87" s="14" t="s">
        <v>41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42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43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44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115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0" t="s">
        <v>46</v>
      </c>
      <c r="C92" s="71"/>
      <c r="D92" s="71"/>
      <c r="E92" s="71"/>
      <c r="F92" s="71"/>
      <c r="G92" s="72"/>
    </row>
    <row r="93" spans="2:7" x14ac:dyDescent="0.25">
      <c r="B93" s="14" t="s">
        <v>41</v>
      </c>
      <c r="C93" s="28">
        <v>0</v>
      </c>
      <c r="D93" s="28">
        <v>0</v>
      </c>
      <c r="E93" s="28">
        <v>0</v>
      </c>
      <c r="F93" s="28">
        <v>0</v>
      </c>
      <c r="G93" s="28">
        <f>SUM(C93:F93)</f>
        <v>0</v>
      </c>
    </row>
    <row r="94" spans="2:7" x14ac:dyDescent="0.25">
      <c r="B94" s="14" t="s">
        <v>42</v>
      </c>
      <c r="C94" s="28">
        <v>0</v>
      </c>
      <c r="D94" s="28">
        <v>0</v>
      </c>
      <c r="E94" s="28">
        <v>0</v>
      </c>
      <c r="F94" s="28">
        <v>0</v>
      </c>
      <c r="G94" s="28">
        <f>SUM(C94:F94)</f>
        <v>0</v>
      </c>
    </row>
    <row r="95" spans="2:7" x14ac:dyDescent="0.25">
      <c r="B95" s="14" t="s">
        <v>43</v>
      </c>
      <c r="C95" s="28">
        <v>0</v>
      </c>
      <c r="D95" s="28">
        <v>0</v>
      </c>
      <c r="E95" s="28">
        <v>0</v>
      </c>
      <c r="F95" s="28">
        <v>0</v>
      </c>
      <c r="G95" s="28">
        <f>AVERAGE(C95:F95)</f>
        <v>0</v>
      </c>
    </row>
    <row r="96" spans="2:7" x14ac:dyDescent="0.25">
      <c r="B96" s="14" t="s">
        <v>44</v>
      </c>
      <c r="C96" s="24">
        <v>12</v>
      </c>
      <c r="D96" s="28">
        <v>0</v>
      </c>
      <c r="E96" s="28">
        <v>0</v>
      </c>
      <c r="F96" s="24">
        <v>7</v>
      </c>
      <c r="G96" s="28">
        <f>SUM(C96:F96)</f>
        <v>19</v>
      </c>
    </row>
    <row r="97" spans="2:8" x14ac:dyDescent="0.25">
      <c r="B97" s="14" t="s">
        <v>115</v>
      </c>
      <c r="C97" s="24">
        <v>191</v>
      </c>
      <c r="D97" s="28">
        <v>0</v>
      </c>
      <c r="E97" s="28">
        <v>0</v>
      </c>
      <c r="F97" s="24">
        <v>91.491591</v>
      </c>
      <c r="G97" s="11">
        <f>SUM(C97:F97)</f>
        <v>282.49159099999997</v>
      </c>
    </row>
    <row r="98" spans="2:8" x14ac:dyDescent="0.25">
      <c r="B98" s="82" t="s">
        <v>49</v>
      </c>
      <c r="C98" s="83"/>
      <c r="D98" s="83"/>
      <c r="E98" s="83"/>
      <c r="F98" s="83"/>
      <c r="G98" s="84"/>
    </row>
    <row r="99" spans="2:8" x14ac:dyDescent="0.25">
      <c r="B99" s="18" t="s">
        <v>41</v>
      </c>
      <c r="C99" s="19">
        <v>0</v>
      </c>
      <c r="D99" s="19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42</v>
      </c>
      <c r="C100" s="19">
        <v>0</v>
      </c>
      <c r="D100" s="19">
        <v>0</v>
      </c>
      <c r="E100" s="19">
        <v>0</v>
      </c>
      <c r="F100" s="19">
        <v>0</v>
      </c>
      <c r="G100" s="22">
        <f>SUM(C100:F100)</f>
        <v>0</v>
      </c>
    </row>
    <row r="101" spans="2:8" x14ac:dyDescent="0.25">
      <c r="B101" s="18" t="s">
        <v>43</v>
      </c>
      <c r="C101" s="19">
        <v>0</v>
      </c>
      <c r="D101" s="19">
        <v>0</v>
      </c>
      <c r="E101" s="19">
        <v>0</v>
      </c>
      <c r="F101" s="19">
        <v>0</v>
      </c>
      <c r="G101" s="19">
        <f>AVERAGE(C101:F101)</f>
        <v>0</v>
      </c>
    </row>
    <row r="102" spans="2:8" x14ac:dyDescent="0.25">
      <c r="B102" s="18" t="s">
        <v>44</v>
      </c>
      <c r="C102" s="19">
        <f>+C96+C84</f>
        <v>1040</v>
      </c>
      <c r="D102" s="19">
        <f t="shared" ref="D102:D103" si="3">+D96+D90+D84</f>
        <v>121</v>
      </c>
      <c r="E102" s="19">
        <f>+E84</f>
        <v>6</v>
      </c>
      <c r="F102" s="19">
        <f>+F96+F84</f>
        <v>109</v>
      </c>
      <c r="G102" s="19">
        <f>SUM(C102:F102)</f>
        <v>1276</v>
      </c>
    </row>
    <row r="103" spans="2:8" x14ac:dyDescent="0.25">
      <c r="B103" s="18" t="s">
        <v>115</v>
      </c>
      <c r="C103" s="19">
        <f>+C97+C85</f>
        <v>22405</v>
      </c>
      <c r="D103" s="19">
        <f t="shared" si="3"/>
        <v>1509</v>
      </c>
      <c r="E103" s="19">
        <f>+E85</f>
        <v>79</v>
      </c>
      <c r="F103" s="19">
        <f>+F85+F97</f>
        <v>2058.491591</v>
      </c>
      <c r="G103" s="22">
        <f>SUM(C103:F103)</f>
        <v>26051.491590999998</v>
      </c>
    </row>
    <row r="104" spans="2:8" x14ac:dyDescent="0.25">
      <c r="B104" s="69"/>
      <c r="C104" s="69"/>
      <c r="D104" s="69"/>
      <c r="E104" s="69"/>
      <c r="F104" s="69"/>
      <c r="G104" s="69"/>
      <c r="H104" s="69"/>
    </row>
    <row r="105" spans="2:8" x14ac:dyDescent="0.25">
      <c r="B105" s="68" t="s">
        <v>50</v>
      </c>
      <c r="C105" s="68"/>
      <c r="D105" s="68"/>
      <c r="E105" s="68"/>
      <c r="F105" s="68"/>
      <c r="G105" s="68"/>
    </row>
    <row r="106" spans="2:8" x14ac:dyDescent="0.25">
      <c r="B106" s="73" t="s">
        <v>51</v>
      </c>
      <c r="C106" s="73"/>
      <c r="D106" s="73"/>
      <c r="E106" s="73"/>
      <c r="F106" s="73"/>
      <c r="G106" s="73"/>
    </row>
    <row r="107" spans="2:8" x14ac:dyDescent="0.25">
      <c r="B107" s="14" t="s">
        <v>52</v>
      </c>
      <c r="C107" s="13">
        <v>2.4</v>
      </c>
      <c r="D107" s="13">
        <v>2.4500000000000002</v>
      </c>
      <c r="E107" s="31">
        <v>2.59</v>
      </c>
      <c r="F107" s="13">
        <v>2.4900000000000002</v>
      </c>
      <c r="G107" s="13">
        <f>AVERAGE(C107:F107)</f>
        <v>2.4824999999999999</v>
      </c>
    </row>
    <row r="108" spans="2:8" x14ac:dyDescent="0.25">
      <c r="B108" s="14" t="s">
        <v>53</v>
      </c>
      <c r="C108" s="13">
        <v>2.15</v>
      </c>
      <c r="D108" s="13">
        <v>2.4500000000000002</v>
      </c>
      <c r="E108" s="32">
        <v>2.58</v>
      </c>
      <c r="F108" s="13">
        <v>2.4900000000000002</v>
      </c>
      <c r="G108" s="13">
        <f>AVERAGE(C108:F108)</f>
        <v>2.4175</v>
      </c>
    </row>
    <row r="109" spans="2:8" x14ac:dyDescent="0.25">
      <c r="B109" s="14" t="s">
        <v>54</v>
      </c>
      <c r="C109" s="13">
        <v>2.0299999999999998</v>
      </c>
      <c r="D109" s="13">
        <v>2.62</v>
      </c>
      <c r="E109" s="31">
        <v>2.68</v>
      </c>
      <c r="F109" s="13">
        <v>2.57</v>
      </c>
      <c r="G109" s="13">
        <f>AVERAGE(C109:F109)</f>
        <v>2.4750000000000001</v>
      </c>
    </row>
    <row r="110" spans="2:8" x14ac:dyDescent="0.25">
      <c r="B110" s="73" t="s">
        <v>55</v>
      </c>
      <c r="C110" s="73"/>
      <c r="D110" s="73"/>
      <c r="E110" s="73"/>
      <c r="F110" s="73"/>
      <c r="G110" s="73"/>
    </row>
    <row r="111" spans="2:8" x14ac:dyDescent="0.25">
      <c r="B111" s="14" t="s">
        <v>52</v>
      </c>
      <c r="C111" s="13">
        <v>1.85</v>
      </c>
      <c r="D111" s="13">
        <v>1.6</v>
      </c>
      <c r="E111" s="31">
        <v>1.6</v>
      </c>
      <c r="F111" s="13">
        <v>1.91</v>
      </c>
      <c r="G111" s="13">
        <f>AVERAGE(C111:F111)</f>
        <v>1.7400000000000002</v>
      </c>
    </row>
    <row r="112" spans="2:8" x14ac:dyDescent="0.25">
      <c r="B112" s="14" t="s">
        <v>53</v>
      </c>
      <c r="C112" s="13">
        <v>1.85</v>
      </c>
      <c r="D112" s="13">
        <v>2.16</v>
      </c>
      <c r="E112" s="31">
        <v>2.15</v>
      </c>
      <c r="F112" s="31">
        <v>2.14</v>
      </c>
      <c r="G112" s="13">
        <f>AVERAGE(C112:F112)</f>
        <v>2.0750000000000002</v>
      </c>
    </row>
    <row r="113" spans="2:9" x14ac:dyDescent="0.25">
      <c r="B113" s="14" t="s">
        <v>54</v>
      </c>
      <c r="C113" s="13">
        <v>1.83</v>
      </c>
      <c r="D113" s="13">
        <v>2.16</v>
      </c>
      <c r="E113" s="31">
        <v>2.2799999999999998</v>
      </c>
      <c r="F113" s="31">
        <v>2.15</v>
      </c>
      <c r="G113" s="13">
        <f>AVERAGE(C113:F113)</f>
        <v>2.105</v>
      </c>
    </row>
    <row r="114" spans="2:9" x14ac:dyDescent="0.25">
      <c r="B114" s="69"/>
      <c r="C114" s="69"/>
      <c r="D114" s="69"/>
      <c r="E114" s="69"/>
      <c r="F114" s="69"/>
      <c r="G114" s="69"/>
      <c r="H114" s="69"/>
      <c r="I114" s="69"/>
    </row>
    <row r="115" spans="2:9" x14ac:dyDescent="0.25">
      <c r="B115" s="73" t="s">
        <v>56</v>
      </c>
      <c r="C115" s="73"/>
      <c r="D115" s="73"/>
      <c r="E115" s="73"/>
      <c r="F115" s="73"/>
      <c r="G115" s="73"/>
    </row>
    <row r="116" spans="2:9" x14ac:dyDescent="0.25">
      <c r="B116" s="14" t="s">
        <v>52</v>
      </c>
      <c r="C116" s="13">
        <v>1.54</v>
      </c>
      <c r="D116" s="13">
        <v>1.7900000000000034</v>
      </c>
      <c r="E116" s="32">
        <v>1.77</v>
      </c>
      <c r="F116" s="32">
        <v>1.77</v>
      </c>
      <c r="G116" s="13">
        <f>AVERAGE(C116:F116)</f>
        <v>1.7175000000000007</v>
      </c>
    </row>
    <row r="117" spans="2:9" x14ac:dyDescent="0.25">
      <c r="B117" s="14" t="s">
        <v>53</v>
      </c>
      <c r="C117" s="13">
        <v>1.76</v>
      </c>
      <c r="D117" s="13">
        <v>1.7900000000000043</v>
      </c>
      <c r="E117" s="32">
        <v>1.77</v>
      </c>
      <c r="F117" s="32">
        <v>1.77</v>
      </c>
      <c r="G117" s="13">
        <f>AVERAGE(C117:F117)</f>
        <v>1.7725000000000009</v>
      </c>
    </row>
    <row r="118" spans="2:9" x14ac:dyDescent="0.25">
      <c r="B118" s="14" t="s">
        <v>54</v>
      </c>
      <c r="C118" s="13">
        <v>1.71</v>
      </c>
      <c r="D118" s="13">
        <v>1.7899999999999683</v>
      </c>
      <c r="E118" s="32">
        <v>1.94</v>
      </c>
      <c r="F118" s="13">
        <v>1.89</v>
      </c>
      <c r="G118" s="13">
        <f>AVERAGE(C118:F118)</f>
        <v>1.8324999999999918</v>
      </c>
    </row>
    <row r="119" spans="2:9" x14ac:dyDescent="0.25">
      <c r="B119" s="70" t="s">
        <v>57</v>
      </c>
      <c r="C119" s="71"/>
      <c r="D119" s="71"/>
      <c r="E119" s="71"/>
      <c r="F119" s="71"/>
      <c r="G119" s="72"/>
    </row>
    <row r="120" spans="2:9" x14ac:dyDescent="0.25">
      <c r="B120" s="14" t="s">
        <v>52</v>
      </c>
      <c r="C120" s="13">
        <v>0</v>
      </c>
      <c r="D120" s="13">
        <v>1.43</v>
      </c>
      <c r="E120" s="31">
        <v>0</v>
      </c>
      <c r="F120" s="31">
        <v>0.39</v>
      </c>
      <c r="G120" s="13">
        <f>AVERAGE(C120:F120)</f>
        <v>0.45499999999999996</v>
      </c>
    </row>
    <row r="121" spans="2:9" x14ac:dyDescent="0.25">
      <c r="B121" s="14" t="s">
        <v>53</v>
      </c>
      <c r="C121" s="58">
        <v>1.34</v>
      </c>
      <c r="D121" s="13">
        <v>1.43</v>
      </c>
      <c r="E121" s="31">
        <v>0</v>
      </c>
      <c r="F121" s="31">
        <v>1.42</v>
      </c>
      <c r="G121" s="13">
        <f>AVERAGE(C121:F121)</f>
        <v>1.0474999999999999</v>
      </c>
    </row>
    <row r="122" spans="2:9" x14ac:dyDescent="0.25">
      <c r="B122" s="14" t="s">
        <v>54</v>
      </c>
      <c r="C122" s="13">
        <v>1.43</v>
      </c>
      <c r="D122" s="13">
        <v>1.43</v>
      </c>
      <c r="E122" s="31">
        <v>1.48</v>
      </c>
      <c r="F122" s="31">
        <v>1.47</v>
      </c>
      <c r="G122" s="13">
        <f>AVERAGE(C122:F122)</f>
        <v>1.4524999999999999</v>
      </c>
    </row>
    <row r="123" spans="2:9" x14ac:dyDescent="0.25">
      <c r="B123" s="69"/>
      <c r="C123" s="69"/>
      <c r="D123" s="69"/>
      <c r="E123" s="69"/>
      <c r="F123" s="69"/>
      <c r="G123" s="69"/>
      <c r="H123" s="69"/>
    </row>
    <row r="124" spans="2:9" x14ac:dyDescent="0.25">
      <c r="B124" s="74" t="s">
        <v>58</v>
      </c>
      <c r="C124" s="75"/>
      <c r="D124" s="75"/>
      <c r="E124" s="75"/>
      <c r="F124" s="75"/>
      <c r="G124" s="76"/>
    </row>
    <row r="125" spans="2:9" x14ac:dyDescent="0.25">
      <c r="B125" s="2" t="s">
        <v>59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4" t="s">
        <v>60</v>
      </c>
      <c r="C126" s="75"/>
      <c r="D126" s="75"/>
      <c r="E126" s="75"/>
      <c r="F126" s="75"/>
      <c r="G126" s="76"/>
    </row>
    <row r="127" spans="2:9" x14ac:dyDescent="0.25">
      <c r="B127" s="3" t="s">
        <v>61</v>
      </c>
      <c r="C127" s="13">
        <v>1.58</v>
      </c>
      <c r="D127" s="42">
        <v>2.0176381315068301</v>
      </c>
      <c r="E127" s="34">
        <v>2.0099999999999998</v>
      </c>
      <c r="F127" s="4">
        <v>0</v>
      </c>
      <c r="G127" s="11">
        <f>AVERAGE(C127:E127)</f>
        <v>1.8692127105022767</v>
      </c>
    </row>
    <row r="128" spans="2:9" x14ac:dyDescent="0.25">
      <c r="B128" s="81"/>
      <c r="C128" s="81"/>
      <c r="D128" s="81"/>
      <c r="E128" s="81"/>
      <c r="F128" s="81"/>
      <c r="G128" s="81"/>
      <c r="H128" s="81"/>
    </row>
    <row r="129" spans="2:9" x14ac:dyDescent="0.25">
      <c r="B129" s="68" t="s">
        <v>62</v>
      </c>
      <c r="C129" s="68"/>
      <c r="D129" s="68"/>
      <c r="E129" s="68"/>
      <c r="F129" s="68"/>
      <c r="G129" s="68"/>
    </row>
    <row r="130" spans="2:9" x14ac:dyDescent="0.25">
      <c r="B130" s="14" t="s">
        <v>63</v>
      </c>
      <c r="C130" s="28">
        <v>256128</v>
      </c>
      <c r="D130" s="28">
        <v>3678</v>
      </c>
      <c r="E130" s="28">
        <v>8572</v>
      </c>
      <c r="F130" s="28">
        <v>816</v>
      </c>
      <c r="G130" s="28">
        <f>SUM(C130:F130)</f>
        <v>269194</v>
      </c>
    </row>
    <row r="131" spans="2:9" x14ac:dyDescent="0.25">
      <c r="B131" s="14" t="s">
        <v>64</v>
      </c>
      <c r="C131" s="28">
        <v>177165</v>
      </c>
      <c r="D131" s="28">
        <v>3917</v>
      </c>
      <c r="E131" s="28">
        <v>1202</v>
      </c>
      <c r="F131" s="28">
        <v>887</v>
      </c>
      <c r="G131" s="11">
        <f>SUM(C131:F131)</f>
        <v>183171</v>
      </c>
    </row>
    <row r="132" spans="2:9" x14ac:dyDescent="0.25">
      <c r="B132" s="69"/>
      <c r="C132" s="69"/>
      <c r="D132" s="69"/>
      <c r="E132" s="69"/>
      <c r="F132" s="69"/>
      <c r="G132" s="69"/>
      <c r="H132" s="69"/>
    </row>
    <row r="133" spans="2:9" x14ac:dyDescent="0.25">
      <c r="B133" s="68" t="s">
        <v>65</v>
      </c>
      <c r="C133" s="68"/>
      <c r="D133" s="68"/>
      <c r="E133" s="68"/>
      <c r="F133" s="68"/>
      <c r="G133" s="68"/>
    </row>
    <row r="134" spans="2:9" x14ac:dyDescent="0.25">
      <c r="B134" s="14" t="s">
        <v>66</v>
      </c>
      <c r="C134" s="28">
        <v>492381</v>
      </c>
      <c r="D134" s="28">
        <v>374410</v>
      </c>
      <c r="E134" s="28">
        <v>121090</v>
      </c>
      <c r="F134" s="28">
        <v>290470</v>
      </c>
      <c r="G134" s="28">
        <f>SUM(C134:F134)</f>
        <v>1278351</v>
      </c>
    </row>
    <row r="135" spans="2:9" x14ac:dyDescent="0.25">
      <c r="B135" s="69"/>
      <c r="C135" s="69"/>
      <c r="D135" s="69"/>
      <c r="E135" s="69"/>
      <c r="F135" s="69"/>
      <c r="G135" s="69"/>
      <c r="H135" s="69"/>
    </row>
    <row r="136" spans="2:9" ht="21" x14ac:dyDescent="0.35">
      <c r="B136" s="77" t="s">
        <v>67</v>
      </c>
      <c r="C136" s="77"/>
      <c r="D136" s="77"/>
      <c r="E136" s="77"/>
      <c r="F136" s="77"/>
      <c r="G136" s="77"/>
    </row>
    <row r="137" spans="2:9" x14ac:dyDescent="0.25">
      <c r="B137" s="68" t="s">
        <v>68</v>
      </c>
      <c r="C137" s="68"/>
      <c r="D137" s="68"/>
      <c r="E137" s="68"/>
      <c r="F137" s="68"/>
      <c r="G137" s="68"/>
    </row>
    <row r="138" spans="2:9" x14ac:dyDescent="0.25">
      <c r="B138" s="14" t="s">
        <v>69</v>
      </c>
      <c r="C138" s="28">
        <v>0</v>
      </c>
      <c r="D138" s="28">
        <v>0</v>
      </c>
      <c r="E138" s="28">
        <v>0</v>
      </c>
      <c r="F138" s="28">
        <v>15665</v>
      </c>
      <c r="G138" s="28">
        <f>SUM(C138:F138)</f>
        <v>15665</v>
      </c>
      <c r="H138" s="7"/>
      <c r="I138" s="7"/>
    </row>
    <row r="139" spans="2:9" x14ac:dyDescent="0.25">
      <c r="B139" s="14" t="s">
        <v>70</v>
      </c>
      <c r="C139" s="28">
        <v>0</v>
      </c>
      <c r="D139" s="28">
        <v>0</v>
      </c>
      <c r="E139" s="28">
        <v>0</v>
      </c>
      <c r="F139" s="28">
        <v>248</v>
      </c>
      <c r="G139" s="28">
        <f>SUM(C139:F139)</f>
        <v>248</v>
      </c>
      <c r="H139" s="7"/>
      <c r="I139" s="7"/>
    </row>
    <row r="140" spans="2:9" x14ac:dyDescent="0.25">
      <c r="B140" s="69"/>
      <c r="C140" s="69"/>
      <c r="D140" s="69"/>
      <c r="E140" s="69"/>
      <c r="F140" s="69"/>
      <c r="G140" s="69"/>
      <c r="H140" s="69"/>
      <c r="I140" s="7"/>
    </row>
    <row r="141" spans="2:9" x14ac:dyDescent="0.25">
      <c r="B141" s="69"/>
      <c r="C141" s="69"/>
      <c r="D141" s="69"/>
      <c r="E141" s="69"/>
      <c r="F141" s="69"/>
      <c r="G141" s="69"/>
      <c r="H141" s="69"/>
    </row>
    <row r="142" spans="2:9" ht="21" x14ac:dyDescent="0.35">
      <c r="B142" s="78" t="s">
        <v>71</v>
      </c>
      <c r="C142" s="79"/>
      <c r="D142" s="79"/>
      <c r="E142" s="79"/>
      <c r="F142" s="79"/>
      <c r="G142" s="80"/>
    </row>
    <row r="143" spans="2:9" x14ac:dyDescent="0.25">
      <c r="B143" s="74" t="s">
        <v>72</v>
      </c>
      <c r="C143" s="75"/>
      <c r="D143" s="75"/>
      <c r="E143" s="75"/>
      <c r="F143" s="75"/>
      <c r="G143" s="76"/>
    </row>
    <row r="144" spans="2:9" x14ac:dyDescent="0.25">
      <c r="B144" s="69"/>
      <c r="C144" s="69"/>
      <c r="D144" s="69"/>
      <c r="E144" s="69"/>
      <c r="F144" s="69"/>
      <c r="G144" s="69"/>
      <c r="H144" s="69"/>
    </row>
    <row r="145" spans="2:8" x14ac:dyDescent="0.25">
      <c r="B145" s="73" t="s">
        <v>73</v>
      </c>
      <c r="C145" s="73"/>
      <c r="D145" s="73"/>
      <c r="E145" s="73"/>
      <c r="F145" s="73"/>
      <c r="G145" s="73"/>
    </row>
    <row r="146" spans="2:8" x14ac:dyDescent="0.25">
      <c r="B146" s="14" t="s">
        <v>74</v>
      </c>
      <c r="C146" s="28">
        <v>0</v>
      </c>
      <c r="D146" s="28">
        <v>702</v>
      </c>
      <c r="E146" s="28">
        <v>0</v>
      </c>
      <c r="F146" s="14">
        <v>709</v>
      </c>
      <c r="G146" s="28">
        <f>SUM(C146:F146)</f>
        <v>1411</v>
      </c>
    </row>
    <row r="147" spans="2:8" x14ac:dyDescent="0.25">
      <c r="B147" s="14" t="s">
        <v>75</v>
      </c>
      <c r="C147" s="28">
        <v>0</v>
      </c>
      <c r="D147" s="28">
        <v>15</v>
      </c>
      <c r="E147" s="28">
        <v>0</v>
      </c>
      <c r="F147" s="59">
        <v>8</v>
      </c>
      <c r="G147" s="11">
        <f>SUM(C147:F147)</f>
        <v>23</v>
      </c>
    </row>
    <row r="148" spans="2:8" x14ac:dyDescent="0.25">
      <c r="B148" s="69"/>
      <c r="C148" s="69"/>
      <c r="D148" s="69"/>
      <c r="E148" s="69"/>
      <c r="F148" s="69"/>
      <c r="G148" s="69"/>
      <c r="H148" s="69"/>
    </row>
    <row r="149" spans="2:8" x14ac:dyDescent="0.25">
      <c r="B149" s="73" t="s">
        <v>76</v>
      </c>
      <c r="C149" s="73"/>
      <c r="D149" s="73"/>
      <c r="E149" s="73"/>
      <c r="F149" s="73"/>
      <c r="G149" s="73"/>
    </row>
    <row r="150" spans="2:8" x14ac:dyDescent="0.25">
      <c r="B150" s="14" t="s">
        <v>77</v>
      </c>
      <c r="C150" s="28">
        <v>0</v>
      </c>
      <c r="D150" s="12">
        <v>159</v>
      </c>
      <c r="E150" s="28">
        <v>1</v>
      </c>
      <c r="F150" s="28">
        <v>0</v>
      </c>
      <c r="G150" s="28">
        <f>SUM(C150:F150)</f>
        <v>160</v>
      </c>
      <c r="H150"/>
    </row>
    <row r="151" spans="2:8" x14ac:dyDescent="0.25">
      <c r="B151" s="14" t="s">
        <v>78</v>
      </c>
      <c r="C151" s="28">
        <v>0</v>
      </c>
      <c r="D151" s="12">
        <v>3</v>
      </c>
      <c r="E151" s="28">
        <v>4.4999999999999998E-2</v>
      </c>
      <c r="F151" s="28">
        <v>0</v>
      </c>
      <c r="G151" s="11">
        <f>SUM(C151:F151)</f>
        <v>3.0449999999999999</v>
      </c>
      <c r="H151"/>
    </row>
    <row r="152" spans="2:8" x14ac:dyDescent="0.25">
      <c r="B152" s="69"/>
      <c r="C152" s="69"/>
      <c r="D152" s="69"/>
      <c r="E152" s="69"/>
      <c r="F152" s="69"/>
      <c r="G152" s="69"/>
      <c r="H152" s="69"/>
    </row>
    <row r="153" spans="2:8" x14ac:dyDescent="0.25">
      <c r="B153" s="73" t="s">
        <v>79</v>
      </c>
      <c r="C153" s="73"/>
      <c r="D153" s="73"/>
      <c r="E153" s="73"/>
      <c r="F153" s="73"/>
      <c r="G153" s="73"/>
    </row>
    <row r="154" spans="2:8" x14ac:dyDescent="0.25">
      <c r="B154" s="14" t="s">
        <v>80</v>
      </c>
      <c r="C154" s="28">
        <v>0</v>
      </c>
      <c r="D154" s="28">
        <v>261</v>
      </c>
      <c r="E154" s="28">
        <v>0</v>
      </c>
      <c r="F154" s="35">
        <v>0</v>
      </c>
      <c r="G154" s="28">
        <f>SUM(C154:F154)</f>
        <v>261</v>
      </c>
      <c r="H154"/>
    </row>
    <row r="155" spans="2:8" x14ac:dyDescent="0.25">
      <c r="B155" s="14" t="s">
        <v>81</v>
      </c>
      <c r="C155" s="28">
        <v>0</v>
      </c>
      <c r="D155" s="28">
        <v>29</v>
      </c>
      <c r="E155" s="28">
        <v>0</v>
      </c>
      <c r="F155" s="30">
        <v>0</v>
      </c>
      <c r="G155" s="11">
        <f>SUM(C155:F155)</f>
        <v>29</v>
      </c>
      <c r="H155"/>
    </row>
    <row r="156" spans="2:8" x14ac:dyDescent="0.25">
      <c r="B156" s="69"/>
      <c r="C156" s="69"/>
      <c r="D156" s="69"/>
      <c r="E156" s="69"/>
      <c r="F156" s="69"/>
      <c r="G156" s="69"/>
      <c r="H156" s="69"/>
    </row>
    <row r="157" spans="2:8" x14ac:dyDescent="0.25">
      <c r="B157" s="70" t="s">
        <v>82</v>
      </c>
      <c r="C157" s="71"/>
      <c r="D157" s="71"/>
      <c r="E157" s="71"/>
      <c r="F157" s="71"/>
      <c r="G157" s="72"/>
    </row>
    <row r="158" spans="2:8" x14ac:dyDescent="0.25">
      <c r="B158" s="18" t="s">
        <v>83</v>
      </c>
      <c r="C158" s="19">
        <v>0</v>
      </c>
      <c r="D158" s="19">
        <f>D146+D150+D154</f>
        <v>1122</v>
      </c>
      <c r="E158" s="19">
        <f>+E150</f>
        <v>1</v>
      </c>
      <c r="F158" s="19">
        <f>F146+F154</f>
        <v>709</v>
      </c>
      <c r="G158" s="19">
        <f>SUM(C158:F158)</f>
        <v>1832</v>
      </c>
    </row>
    <row r="159" spans="2:8" x14ac:dyDescent="0.25">
      <c r="B159" s="18" t="s">
        <v>84</v>
      </c>
      <c r="C159" s="19">
        <v>0</v>
      </c>
      <c r="D159" s="19">
        <f>D147+D151+D155</f>
        <v>47</v>
      </c>
      <c r="E159" s="19">
        <v>0.14899999999999999</v>
      </c>
      <c r="F159" s="19">
        <f>F147+F155</f>
        <v>8</v>
      </c>
      <c r="G159" s="22">
        <f>SUM(C159:F159)</f>
        <v>55.149000000000001</v>
      </c>
    </row>
    <row r="160" spans="2:8" x14ac:dyDescent="0.25">
      <c r="B160" s="69"/>
      <c r="C160" s="69"/>
      <c r="D160" s="69"/>
      <c r="E160" s="69"/>
      <c r="F160" s="69"/>
      <c r="G160" s="69"/>
      <c r="H160" s="69"/>
    </row>
    <row r="161" spans="2:8" x14ac:dyDescent="0.25">
      <c r="B161" s="68" t="s">
        <v>85</v>
      </c>
      <c r="C161" s="68"/>
      <c r="D161" s="68"/>
      <c r="E161" s="68"/>
      <c r="F161" s="68"/>
      <c r="G161" s="68"/>
    </row>
    <row r="162" spans="2:8" x14ac:dyDescent="0.25">
      <c r="B162" s="14" t="s">
        <v>80</v>
      </c>
      <c r="C162" s="28">
        <v>3273</v>
      </c>
      <c r="D162" s="28">
        <v>39753</v>
      </c>
      <c r="E162" s="28">
        <v>4100</v>
      </c>
      <c r="F162" s="28">
        <v>21623</v>
      </c>
      <c r="G162" s="28">
        <f>SUM(C162:F162)</f>
        <v>68749</v>
      </c>
    </row>
    <row r="163" spans="2:8" x14ac:dyDescent="0.25">
      <c r="B163" s="14" t="s">
        <v>81</v>
      </c>
      <c r="C163" s="28">
        <v>78</v>
      </c>
      <c r="D163" s="28">
        <v>170</v>
      </c>
      <c r="E163" s="28">
        <v>60.048999999999999</v>
      </c>
      <c r="F163" s="28">
        <v>139</v>
      </c>
      <c r="G163" s="11">
        <f>SUM(C163:F163)</f>
        <v>447.04899999999998</v>
      </c>
    </row>
    <row r="164" spans="2:8" x14ac:dyDescent="0.25">
      <c r="B164" s="69"/>
      <c r="C164" s="69"/>
      <c r="D164" s="69"/>
      <c r="E164" s="69"/>
      <c r="F164" s="69"/>
      <c r="G164" s="69"/>
    </row>
    <row r="165" spans="2:8" x14ac:dyDescent="0.25">
      <c r="B165" s="74" t="s">
        <v>86</v>
      </c>
      <c r="C165" s="75"/>
      <c r="D165" s="75"/>
      <c r="E165" s="75"/>
      <c r="F165" s="75"/>
      <c r="G165" s="76"/>
    </row>
    <row r="166" spans="2:8" x14ac:dyDescent="0.25">
      <c r="B166" s="70" t="s">
        <v>87</v>
      </c>
      <c r="C166" s="71"/>
      <c r="D166" s="71"/>
      <c r="E166" s="71"/>
      <c r="F166" s="71"/>
      <c r="G166" s="72"/>
    </row>
    <row r="167" spans="2:8" x14ac:dyDescent="0.25">
      <c r="B167" s="14" t="s">
        <v>88</v>
      </c>
      <c r="C167" s="28">
        <v>414</v>
      </c>
      <c r="D167" s="28">
        <v>4017</v>
      </c>
      <c r="E167" s="28">
        <v>500</v>
      </c>
      <c r="F167" s="28">
        <v>602</v>
      </c>
      <c r="G167" s="28">
        <f>SUM(C167:F167)</f>
        <v>5533</v>
      </c>
    </row>
    <row r="168" spans="2:8" x14ac:dyDescent="0.25">
      <c r="B168" s="14" t="s">
        <v>89</v>
      </c>
      <c r="C168" s="28">
        <v>10</v>
      </c>
      <c r="D168" s="28">
        <v>88</v>
      </c>
      <c r="E168" s="28">
        <v>8.65</v>
      </c>
      <c r="F168" s="28">
        <v>22</v>
      </c>
      <c r="G168" s="11">
        <f>SUM(C168:F168)</f>
        <v>128.65</v>
      </c>
    </row>
    <row r="169" spans="2:8" x14ac:dyDescent="0.25">
      <c r="B169" s="69"/>
      <c r="C169" s="69"/>
      <c r="D169" s="69"/>
      <c r="E169" s="69"/>
      <c r="F169" s="69"/>
      <c r="G169" s="69"/>
    </row>
    <row r="170" spans="2:8" x14ac:dyDescent="0.25">
      <c r="B170" s="70" t="s">
        <v>90</v>
      </c>
      <c r="C170" s="71"/>
      <c r="D170" s="71"/>
      <c r="E170" s="71"/>
      <c r="F170" s="71"/>
      <c r="G170" s="72"/>
    </row>
    <row r="171" spans="2:8" x14ac:dyDescent="0.25">
      <c r="B171" s="14" t="s">
        <v>91</v>
      </c>
      <c r="C171" s="28">
        <v>1502</v>
      </c>
      <c r="D171" s="28">
        <v>581</v>
      </c>
      <c r="E171" s="28">
        <v>170</v>
      </c>
      <c r="F171" s="28">
        <v>385</v>
      </c>
      <c r="G171" s="28">
        <f>SUM(C171:F171)</f>
        <v>2638</v>
      </c>
    </row>
    <row r="172" spans="2:8" x14ac:dyDescent="0.25">
      <c r="B172" s="14" t="s">
        <v>89</v>
      </c>
      <c r="C172" s="28">
        <v>33</v>
      </c>
      <c r="D172" s="28">
        <v>12</v>
      </c>
      <c r="E172" s="28">
        <v>4.25</v>
      </c>
      <c r="F172" s="28">
        <v>8</v>
      </c>
      <c r="G172" s="11">
        <f>SUM(C172:F172)</f>
        <v>57.25</v>
      </c>
    </row>
    <row r="173" spans="2:8" x14ac:dyDescent="0.25">
      <c r="B173" s="69"/>
      <c r="C173" s="69"/>
      <c r="D173" s="69"/>
      <c r="E173" s="69"/>
      <c r="F173" s="69"/>
      <c r="G173" s="69"/>
      <c r="H173" s="69"/>
    </row>
    <row r="174" spans="2:8" x14ac:dyDescent="0.25">
      <c r="B174" s="70" t="s">
        <v>92</v>
      </c>
      <c r="C174" s="71"/>
      <c r="D174" s="71"/>
      <c r="E174" s="71"/>
      <c r="F174" s="71"/>
      <c r="G174" s="72"/>
    </row>
    <row r="175" spans="2:8" x14ac:dyDescent="0.25">
      <c r="B175" s="14" t="s">
        <v>91</v>
      </c>
      <c r="C175" s="28">
        <v>341</v>
      </c>
      <c r="D175" s="28">
        <v>308</v>
      </c>
      <c r="E175" s="28">
        <v>187</v>
      </c>
      <c r="F175" s="28">
        <v>34</v>
      </c>
      <c r="G175" s="28">
        <f>SUM(C175:F175)</f>
        <v>870</v>
      </c>
    </row>
    <row r="176" spans="2:8" x14ac:dyDescent="0.25">
      <c r="B176" s="14" t="s">
        <v>89</v>
      </c>
      <c r="C176" s="28">
        <v>24</v>
      </c>
      <c r="D176" s="28">
        <v>32</v>
      </c>
      <c r="E176" s="28">
        <v>10.545999999999999</v>
      </c>
      <c r="F176" s="28">
        <v>4</v>
      </c>
      <c r="G176" s="11">
        <f>SUM(C176:F176)</f>
        <v>70.545999999999992</v>
      </c>
    </row>
    <row r="177" spans="2:8" x14ac:dyDescent="0.25">
      <c r="B177" s="69"/>
      <c r="C177" s="69"/>
      <c r="D177" s="69"/>
      <c r="E177" s="69"/>
      <c r="F177" s="69"/>
      <c r="G177" s="69"/>
      <c r="H177" s="69"/>
    </row>
    <row r="178" spans="2:8" x14ac:dyDescent="0.25">
      <c r="B178" s="70" t="s">
        <v>93</v>
      </c>
      <c r="C178" s="71"/>
      <c r="D178" s="71"/>
      <c r="E178" s="71"/>
      <c r="F178" s="71"/>
      <c r="G178" s="72"/>
    </row>
    <row r="179" spans="2:8" x14ac:dyDescent="0.25">
      <c r="B179" s="14" t="s">
        <v>91</v>
      </c>
      <c r="C179" s="28">
        <v>266</v>
      </c>
      <c r="D179" s="28">
        <v>180215</v>
      </c>
      <c r="E179" s="28">
        <v>0</v>
      </c>
      <c r="F179" s="28">
        <v>0</v>
      </c>
      <c r="G179" s="28">
        <f>SUM(C179:F179)</f>
        <v>180481</v>
      </c>
    </row>
    <row r="180" spans="2:8" x14ac:dyDescent="0.25">
      <c r="B180" s="14" t="s">
        <v>89</v>
      </c>
      <c r="C180" s="28">
        <v>8</v>
      </c>
      <c r="D180" s="28">
        <v>2654</v>
      </c>
      <c r="E180" s="28">
        <v>0</v>
      </c>
      <c r="F180" s="28">
        <v>0</v>
      </c>
      <c r="G180" s="11">
        <f>SUM(C180:F180)</f>
        <v>2662</v>
      </c>
    </row>
    <row r="181" spans="2:8" x14ac:dyDescent="0.25">
      <c r="B181" s="69"/>
      <c r="C181" s="69"/>
      <c r="D181" s="69"/>
      <c r="E181" s="69"/>
      <c r="F181" s="69"/>
      <c r="G181" s="69"/>
      <c r="H181" s="69"/>
    </row>
    <row r="182" spans="2:8" x14ac:dyDescent="0.25">
      <c r="B182" s="68" t="s">
        <v>94</v>
      </c>
      <c r="C182" s="68"/>
      <c r="D182" s="68"/>
      <c r="E182" s="68"/>
      <c r="F182" s="68"/>
      <c r="G182" s="68"/>
    </row>
    <row r="183" spans="2:8" x14ac:dyDescent="0.25">
      <c r="B183" s="18" t="s">
        <v>95</v>
      </c>
      <c r="C183" s="19">
        <f>+C179+C175+C171+C167</f>
        <v>2523</v>
      </c>
      <c r="D183" s="19">
        <f>D167+D171+D175+D179</f>
        <v>185121</v>
      </c>
      <c r="E183" s="19">
        <f t="shared" ref="E183:E184" si="4">+E179+E175+E171+E167</f>
        <v>857</v>
      </c>
      <c r="F183" s="19">
        <f>+F179+F175+F171+F167</f>
        <v>1021</v>
      </c>
      <c r="G183" s="19">
        <f>SUM(C183:F183)</f>
        <v>189522</v>
      </c>
    </row>
    <row r="184" spans="2:8" x14ac:dyDescent="0.25">
      <c r="B184" s="18" t="s">
        <v>96</v>
      </c>
      <c r="C184" s="19">
        <f>+C180+C176+C172+C168</f>
        <v>75</v>
      </c>
      <c r="D184" s="19">
        <f>D168+D172+D176+D180</f>
        <v>2786</v>
      </c>
      <c r="E184" s="19">
        <f t="shared" si="4"/>
        <v>23.445999999999998</v>
      </c>
      <c r="F184" s="19">
        <f>+F180+F176+F172+F168</f>
        <v>34</v>
      </c>
      <c r="G184" s="22">
        <f>SUM(C184:F184)</f>
        <v>2918.4459999999999</v>
      </c>
    </row>
    <row r="185" spans="2:8" x14ac:dyDescent="0.25">
      <c r="B185" s="69"/>
      <c r="C185" s="69"/>
      <c r="D185" s="69"/>
      <c r="E185" s="69"/>
      <c r="F185" s="69"/>
      <c r="G185" s="69"/>
      <c r="H185" s="69"/>
    </row>
    <row r="186" spans="2:8" x14ac:dyDescent="0.25">
      <c r="B186" s="68" t="s">
        <v>97</v>
      </c>
      <c r="C186" s="68"/>
      <c r="D186" s="68"/>
      <c r="E186" s="68"/>
      <c r="F186" s="68"/>
      <c r="G186" s="68"/>
    </row>
    <row r="187" spans="2:8" x14ac:dyDescent="0.25">
      <c r="B187" s="14" t="s">
        <v>98</v>
      </c>
      <c r="C187" s="28">
        <v>4977</v>
      </c>
      <c r="D187" s="28">
        <v>8580</v>
      </c>
      <c r="E187" s="28">
        <v>66</v>
      </c>
      <c r="F187" s="28">
        <v>23353</v>
      </c>
      <c r="G187" s="28">
        <f>SUM(C187:F187)</f>
        <v>36976</v>
      </c>
    </row>
    <row r="188" spans="2:8" x14ac:dyDescent="0.25">
      <c r="B188" s="14" t="s">
        <v>99</v>
      </c>
      <c r="C188" s="28">
        <v>39</v>
      </c>
      <c r="D188" s="28">
        <v>112</v>
      </c>
      <c r="E188" s="28">
        <v>2.65</v>
      </c>
      <c r="F188" s="28">
        <v>180</v>
      </c>
      <c r="G188" s="11">
        <f>SUM(C188:F188)</f>
        <v>333.65</v>
      </c>
    </row>
    <row r="189" spans="2:8" x14ac:dyDescent="0.25">
      <c r="B189" s="69"/>
      <c r="C189" s="69"/>
      <c r="D189" s="69"/>
      <c r="E189" s="69"/>
      <c r="F189" s="69"/>
      <c r="G189" s="69"/>
      <c r="H189" s="69"/>
    </row>
    <row r="190" spans="2:8" x14ac:dyDescent="0.25">
      <c r="B190" s="68" t="s">
        <v>100</v>
      </c>
      <c r="C190" s="68"/>
      <c r="D190" s="68"/>
      <c r="E190" s="68"/>
      <c r="F190" s="68"/>
      <c r="G190" s="68"/>
    </row>
    <row r="191" spans="2:8" x14ac:dyDescent="0.25">
      <c r="B191" s="18" t="s">
        <v>101</v>
      </c>
      <c r="C191" s="19">
        <f>C187+C162+C183</f>
        <v>10773</v>
      </c>
      <c r="D191" s="19">
        <f>+D187+D183+D162+D158</f>
        <v>234576</v>
      </c>
      <c r="E191" s="62">
        <v>5024</v>
      </c>
      <c r="F191" s="19">
        <f>F158+F162+F183+F187</f>
        <v>46706</v>
      </c>
      <c r="G191" s="19">
        <f>SUM(C191:F191)</f>
        <v>297079</v>
      </c>
    </row>
    <row r="192" spans="2:8" x14ac:dyDescent="0.25">
      <c r="B192" s="18" t="s">
        <v>102</v>
      </c>
      <c r="C192" s="19">
        <f>C188+C163+C184</f>
        <v>192</v>
      </c>
      <c r="D192" s="19">
        <f>+D188+D184+D163+D159</f>
        <v>3115</v>
      </c>
      <c r="E192" s="63">
        <v>86.191000000000003</v>
      </c>
      <c r="F192" s="19">
        <f>F159+F184+F163+F188</f>
        <v>361</v>
      </c>
      <c r="G192" s="22">
        <f>SUM(C192:F192)</f>
        <v>3754.1909999999998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G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7DD58-E65A-4A8C-B4A5-26E21941C3F6}">
  <dimension ref="A1:BD195"/>
  <sheetViews>
    <sheetView tabSelected="1"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49.140625" customWidth="1"/>
    <col min="3" max="3" width="17.42578125" bestFit="1" customWidth="1"/>
    <col min="4" max="4" width="16.42578125" bestFit="1" customWidth="1"/>
    <col min="5" max="5" width="16.28515625" bestFit="1" customWidth="1"/>
    <col min="6" max="6" width="18.140625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7" t="s">
        <v>1</v>
      </c>
      <c r="D2" s="88"/>
      <c r="E2" s="88"/>
      <c r="F2" s="88"/>
      <c r="G2" s="89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8" t="s">
        <v>7</v>
      </c>
      <c r="C4" s="79"/>
      <c r="D4" s="79"/>
      <c r="E4" s="79"/>
      <c r="F4" s="79"/>
      <c r="G4" s="80"/>
    </row>
    <row r="5" spans="1:7" x14ac:dyDescent="0.25">
      <c r="B5" s="74" t="s">
        <v>103</v>
      </c>
      <c r="C5" s="75"/>
      <c r="D5" s="75"/>
      <c r="E5" s="75"/>
      <c r="F5" s="75"/>
      <c r="G5" s="76"/>
    </row>
    <row r="6" spans="1:7" x14ac:dyDescent="0.25">
      <c r="B6" s="4" t="s">
        <v>104</v>
      </c>
      <c r="C6" s="12">
        <v>55164</v>
      </c>
      <c r="D6" s="12">
        <v>8200</v>
      </c>
      <c r="E6" s="12">
        <v>8850</v>
      </c>
      <c r="F6" s="12">
        <v>10374</v>
      </c>
      <c r="G6" s="12">
        <f>+F6+E6+D6+C6</f>
        <v>82588</v>
      </c>
    </row>
    <row r="7" spans="1:7" x14ac:dyDescent="0.25">
      <c r="B7" s="14" t="s">
        <v>105</v>
      </c>
      <c r="C7" s="12">
        <v>521</v>
      </c>
      <c r="D7" s="12">
        <v>222</v>
      </c>
      <c r="E7" s="12">
        <v>12</v>
      </c>
      <c r="F7" s="12">
        <v>144</v>
      </c>
      <c r="G7" s="12">
        <f>+F7+E7+D7+C7</f>
        <v>899</v>
      </c>
    </row>
    <row r="8" spans="1:7" x14ac:dyDescent="0.25">
      <c r="B8" s="18" t="s">
        <v>106</v>
      </c>
      <c r="C8" s="25">
        <v>55685</v>
      </c>
      <c r="D8" s="25">
        <v>8422</v>
      </c>
      <c r="E8" s="25">
        <v>8862</v>
      </c>
      <c r="F8" s="25">
        <v>10518</v>
      </c>
      <c r="G8" s="25">
        <f>+F8+E8+D8+C8</f>
        <v>83487</v>
      </c>
    </row>
    <row r="9" spans="1:7" x14ac:dyDescent="0.25">
      <c r="B9" s="69"/>
      <c r="C9" s="69"/>
      <c r="D9" s="69"/>
      <c r="E9" s="69"/>
      <c r="F9" s="69"/>
      <c r="G9" s="69"/>
    </row>
    <row r="10" spans="1:7" x14ac:dyDescent="0.25">
      <c r="B10" s="74" t="s">
        <v>8</v>
      </c>
      <c r="C10" s="75"/>
      <c r="D10" s="75"/>
      <c r="E10" s="75"/>
      <c r="F10" s="75"/>
      <c r="G10" s="76"/>
    </row>
    <row r="11" spans="1:7" x14ac:dyDescent="0.25">
      <c r="B11" s="70" t="s">
        <v>9</v>
      </c>
      <c r="C11" s="71"/>
      <c r="D11" s="71"/>
      <c r="E11" s="71"/>
      <c r="F11" s="71"/>
      <c r="G11" s="72"/>
    </row>
    <row r="12" spans="1:7" x14ac:dyDescent="0.25">
      <c r="B12" s="16" t="s">
        <v>10</v>
      </c>
      <c r="C12" s="12">
        <v>901461</v>
      </c>
      <c r="D12" s="12">
        <v>134833</v>
      </c>
      <c r="E12" s="12">
        <v>53110</v>
      </c>
      <c r="F12" s="12">
        <v>0</v>
      </c>
      <c r="G12" s="17">
        <f>SUM(C12:F12)</f>
        <v>1089404</v>
      </c>
    </row>
    <row r="13" spans="1:7" x14ac:dyDescent="0.25">
      <c r="B13" s="16" t="s">
        <v>11</v>
      </c>
      <c r="C13" s="12">
        <v>2377305</v>
      </c>
      <c r="D13" s="12">
        <v>545474</v>
      </c>
      <c r="E13" s="12">
        <v>232357</v>
      </c>
      <c r="F13" s="12">
        <v>0</v>
      </c>
      <c r="G13" s="17">
        <f>SUM(C13:F13)</f>
        <v>3155136</v>
      </c>
    </row>
    <row r="14" spans="1:7" x14ac:dyDescent="0.25">
      <c r="B14" s="18" t="s">
        <v>12</v>
      </c>
      <c r="C14" s="25">
        <v>3278766</v>
      </c>
      <c r="D14" s="25">
        <v>1011740</v>
      </c>
      <c r="E14" s="25">
        <v>285467</v>
      </c>
      <c r="F14" s="25">
        <v>137116</v>
      </c>
      <c r="G14" s="19">
        <f>SUM(C14:F14)</f>
        <v>4713089</v>
      </c>
    </row>
    <row r="15" spans="1:7" x14ac:dyDescent="0.25">
      <c r="B15" s="18" t="s">
        <v>13</v>
      </c>
      <c r="C15" s="25">
        <v>441482</v>
      </c>
      <c r="D15" s="25">
        <v>153678</v>
      </c>
      <c r="E15" s="25">
        <v>3073</v>
      </c>
      <c r="F15" s="25">
        <v>370242</v>
      </c>
      <c r="G15" s="19">
        <f>SUM(C15:F15)</f>
        <v>968475</v>
      </c>
    </row>
    <row r="16" spans="1:7" x14ac:dyDescent="0.25">
      <c r="B16" s="18" t="s">
        <v>14</v>
      </c>
      <c r="C16" s="25">
        <v>3720248</v>
      </c>
      <c r="D16" s="25">
        <v>1165418</v>
      </c>
      <c r="E16" s="25">
        <v>288540</v>
      </c>
      <c r="F16" s="25">
        <v>507358</v>
      </c>
      <c r="G16" s="19">
        <f>SUM(C16:F16)</f>
        <v>5681564</v>
      </c>
    </row>
    <row r="17" spans="2:8" x14ac:dyDescent="0.25">
      <c r="B17" s="69"/>
      <c r="C17" s="69"/>
      <c r="D17" s="69"/>
      <c r="E17" s="69"/>
      <c r="F17" s="69"/>
      <c r="G17" s="69"/>
    </row>
    <row r="18" spans="2:8" x14ac:dyDescent="0.25">
      <c r="B18" s="70" t="s">
        <v>15</v>
      </c>
      <c r="C18" s="71"/>
      <c r="D18" s="71"/>
      <c r="E18" s="71"/>
      <c r="F18" s="71"/>
      <c r="G18" s="72"/>
    </row>
    <row r="19" spans="2:8" x14ac:dyDescent="0.25">
      <c r="B19" s="14" t="s">
        <v>16</v>
      </c>
      <c r="C19" s="12">
        <v>3551</v>
      </c>
      <c r="D19" s="12">
        <v>4</v>
      </c>
      <c r="E19" s="12">
        <v>0</v>
      </c>
      <c r="F19" s="12">
        <v>0</v>
      </c>
      <c r="G19" s="17">
        <f>SUM(C19:F19)</f>
        <v>3555</v>
      </c>
    </row>
    <row r="20" spans="2:8" x14ac:dyDescent="0.25">
      <c r="B20" s="90"/>
      <c r="C20" s="90"/>
      <c r="D20" s="90"/>
      <c r="E20" s="90"/>
      <c r="F20" s="90"/>
      <c r="G20" s="90"/>
    </row>
    <row r="21" spans="2:8" x14ac:dyDescent="0.25">
      <c r="B21" s="18" t="s">
        <v>17</v>
      </c>
      <c r="C21" s="66">
        <f>+C19+C16</f>
        <v>3723799</v>
      </c>
      <c r="D21" s="66">
        <v>1165422</v>
      </c>
      <c r="E21" s="66">
        <f>+E19+E16</f>
        <v>288540</v>
      </c>
      <c r="F21" s="66">
        <f>F16</f>
        <v>507358</v>
      </c>
      <c r="G21" s="19">
        <f>SUM(C21:F21)</f>
        <v>5685119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18</v>
      </c>
      <c r="C23" s="9"/>
      <c r="D23" s="9"/>
      <c r="E23" s="9"/>
      <c r="F23" s="9"/>
      <c r="G23" s="10"/>
    </row>
    <row r="24" spans="2:8" x14ac:dyDescent="0.25">
      <c r="B24" s="18" t="s">
        <v>19</v>
      </c>
      <c r="C24" s="25">
        <v>398904</v>
      </c>
      <c r="D24" s="25">
        <v>196846</v>
      </c>
      <c r="E24" s="25">
        <v>133355</v>
      </c>
      <c r="F24" s="25">
        <v>674091</v>
      </c>
      <c r="G24" s="19">
        <f>SUM(C24:F24)</f>
        <v>1403196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20</v>
      </c>
      <c r="C26" s="9"/>
      <c r="D26" s="9"/>
      <c r="E26" s="9"/>
      <c r="F26" s="9"/>
      <c r="G26" s="10"/>
    </row>
    <row r="27" spans="2:8" x14ac:dyDescent="0.25">
      <c r="B27" s="18" t="s">
        <v>21</v>
      </c>
      <c r="C27" s="25">
        <f>+C24+C21</f>
        <v>4122703</v>
      </c>
      <c r="D27" s="25">
        <f>+D24+D21</f>
        <v>1362268</v>
      </c>
      <c r="E27" s="25">
        <f>+E24+E21</f>
        <v>421895</v>
      </c>
      <c r="F27" s="25">
        <f>+F24+F21</f>
        <v>1181449</v>
      </c>
      <c r="G27" s="19">
        <f>SUM(C27:F27)</f>
        <v>7088315</v>
      </c>
    </row>
    <row r="28" spans="2:8" x14ac:dyDescent="0.25">
      <c r="B28" s="69"/>
      <c r="C28" s="69"/>
      <c r="D28" s="69"/>
      <c r="E28" s="69"/>
      <c r="F28" s="69"/>
      <c r="G28" s="69"/>
      <c r="H28" s="69"/>
    </row>
    <row r="29" spans="2:8" x14ac:dyDescent="0.25">
      <c r="B29" s="74" t="s">
        <v>22</v>
      </c>
      <c r="C29" s="75"/>
      <c r="D29" s="75"/>
      <c r="E29" s="75"/>
      <c r="F29" s="75"/>
      <c r="G29" s="76"/>
    </row>
    <row r="30" spans="2:8" x14ac:dyDescent="0.25">
      <c r="B30" s="14" t="s">
        <v>23</v>
      </c>
      <c r="C30" s="28">
        <v>1191277</v>
      </c>
      <c r="D30" s="28">
        <v>106290</v>
      </c>
      <c r="E30" s="28">
        <v>91092</v>
      </c>
      <c r="F30" s="28">
        <v>199846</v>
      </c>
      <c r="G30" s="28">
        <f>SUM(C30:F30)</f>
        <v>1588505</v>
      </c>
    </row>
    <row r="31" spans="2:8" x14ac:dyDescent="0.25">
      <c r="B31" s="69"/>
      <c r="C31" s="69"/>
      <c r="D31" s="69"/>
      <c r="E31" s="69"/>
      <c r="F31" s="69"/>
      <c r="G31" s="69"/>
      <c r="H31" s="69"/>
    </row>
    <row r="32" spans="2:8" x14ac:dyDescent="0.25">
      <c r="B32" s="74" t="s">
        <v>107</v>
      </c>
      <c r="C32" s="75"/>
      <c r="D32" s="75"/>
      <c r="E32" s="75"/>
      <c r="F32" s="75"/>
      <c r="G32" s="76"/>
    </row>
    <row r="33" spans="2:9" x14ac:dyDescent="0.25">
      <c r="B33" s="14" t="s">
        <v>25</v>
      </c>
      <c r="C33" s="28">
        <v>3564357866119</v>
      </c>
      <c r="D33" s="28">
        <v>609702325377</v>
      </c>
      <c r="E33" s="28">
        <v>247041287674</v>
      </c>
      <c r="F33" s="28">
        <v>421661579116</v>
      </c>
      <c r="G33" s="28">
        <f>SUM(C33:F33)</f>
        <v>4842763058286</v>
      </c>
    </row>
    <row r="34" spans="2:9" x14ac:dyDescent="0.25">
      <c r="B34" s="14" t="s">
        <v>26</v>
      </c>
      <c r="C34" s="28">
        <v>159459508705</v>
      </c>
      <c r="D34" s="28">
        <v>66699563511</v>
      </c>
      <c r="E34" s="28">
        <v>37250819200</v>
      </c>
      <c r="F34" s="28">
        <v>196124284743</v>
      </c>
      <c r="G34" s="28">
        <f>SUM(C34:F34)</f>
        <v>459534176159</v>
      </c>
    </row>
    <row r="35" spans="2:9" x14ac:dyDescent="0.25">
      <c r="B35" s="46" t="s">
        <v>27</v>
      </c>
      <c r="C35" s="25">
        <v>3723817374824</v>
      </c>
      <c r="D35" s="25">
        <f>+D34+D33</f>
        <v>676401888888</v>
      </c>
      <c r="E35" s="25">
        <v>284292106874</v>
      </c>
      <c r="F35" s="25">
        <v>617785863859</v>
      </c>
      <c r="G35" s="47">
        <f>SUM(C35:F35)</f>
        <v>5302297234445</v>
      </c>
    </row>
    <row r="36" spans="2:9" x14ac:dyDescent="0.25">
      <c r="B36" s="85" t="s">
        <v>108</v>
      </c>
      <c r="C36" s="85"/>
      <c r="D36" s="85"/>
      <c r="E36" s="85"/>
      <c r="F36" s="85"/>
      <c r="G36" s="85"/>
      <c r="H36"/>
    </row>
    <row r="37" spans="2:9" x14ac:dyDescent="0.25">
      <c r="B37" s="45"/>
      <c r="C37" s="45"/>
      <c r="D37" s="45"/>
      <c r="E37" s="45"/>
      <c r="F37" s="45"/>
      <c r="G37" s="45"/>
      <c r="H37" s="45"/>
    </row>
    <row r="38" spans="2:9" ht="21" x14ac:dyDescent="0.35">
      <c r="B38" s="78" t="s">
        <v>28</v>
      </c>
      <c r="C38" s="79"/>
      <c r="D38" s="79"/>
      <c r="E38" s="79"/>
      <c r="F38" s="79"/>
      <c r="G38" s="80"/>
    </row>
    <row r="39" spans="2:9" x14ac:dyDescent="0.25">
      <c r="B39" s="74" t="s">
        <v>29</v>
      </c>
      <c r="C39" s="75"/>
      <c r="D39" s="75"/>
      <c r="E39" s="75"/>
      <c r="F39" s="75"/>
      <c r="G39" s="76"/>
    </row>
    <row r="40" spans="2:9" x14ac:dyDescent="0.25">
      <c r="B40" s="14" t="s">
        <v>30</v>
      </c>
      <c r="C40" s="28">
        <v>583578</v>
      </c>
      <c r="D40" s="28">
        <v>123653</v>
      </c>
      <c r="E40" s="28">
        <v>49785</v>
      </c>
      <c r="F40" s="28">
        <v>64233</v>
      </c>
      <c r="G40" s="28">
        <f>SUM(C40:F40)</f>
        <v>821249</v>
      </c>
      <c r="H40" s="7"/>
      <c r="I40" s="7"/>
    </row>
    <row r="41" spans="2:9" x14ac:dyDescent="0.25">
      <c r="B41" s="14" t="s">
        <v>31</v>
      </c>
      <c r="C41" s="28">
        <f>2541905850/1000000</f>
        <v>2541.9058500000001</v>
      </c>
      <c r="D41" s="28">
        <v>940.40040299999998</v>
      </c>
      <c r="E41" s="28">
        <v>392.3</v>
      </c>
      <c r="F41" s="12">
        <v>484.74091299999998</v>
      </c>
      <c r="G41" s="11">
        <f>SUM(C41:F41)</f>
        <v>4359.3471660000005</v>
      </c>
      <c r="H41" s="7"/>
      <c r="I41" s="7"/>
    </row>
    <row r="42" spans="2:9" x14ac:dyDescent="0.25">
      <c r="B42" s="69"/>
      <c r="C42" s="69"/>
      <c r="D42" s="69"/>
      <c r="E42" s="69"/>
      <c r="F42" s="69"/>
      <c r="G42" s="69"/>
      <c r="H42" s="69"/>
      <c r="I42" s="7"/>
    </row>
    <row r="43" spans="2:9" x14ac:dyDescent="0.25">
      <c r="B43" s="68" t="s">
        <v>109</v>
      </c>
      <c r="C43" s="68"/>
      <c r="D43" s="68"/>
      <c r="E43" s="68"/>
      <c r="F43" s="68"/>
      <c r="G43" s="68"/>
      <c r="I43" s="7"/>
    </row>
    <row r="44" spans="2:9" x14ac:dyDescent="0.25">
      <c r="B44" s="14" t="s">
        <v>111</v>
      </c>
      <c r="C44" s="28">
        <v>3</v>
      </c>
      <c r="D44" s="28">
        <v>1</v>
      </c>
      <c r="E44" s="28">
        <v>1</v>
      </c>
      <c r="F44" s="28">
        <v>0</v>
      </c>
      <c r="G44" s="28">
        <f>SUM(C44:F44)</f>
        <v>5</v>
      </c>
      <c r="H44" s="7"/>
      <c r="I44" s="7"/>
    </row>
    <row r="45" spans="2:9" x14ac:dyDescent="0.25">
      <c r="B45" s="14" t="s">
        <v>112</v>
      </c>
      <c r="C45" s="28">
        <f>4681192/1000000</f>
        <v>4.6811920000000002</v>
      </c>
      <c r="D45" s="28">
        <v>6.3574000000000006E-2</v>
      </c>
      <c r="E45" s="28">
        <v>0.01</v>
      </c>
      <c r="F45" s="28">
        <v>0</v>
      </c>
      <c r="G45" s="11">
        <f>SUM(C45:F45)</f>
        <v>4.754766</v>
      </c>
      <c r="H45" s="7"/>
      <c r="I45" s="7"/>
    </row>
    <row r="46" spans="2:9" x14ac:dyDescent="0.25">
      <c r="B46" s="69"/>
      <c r="C46" s="69"/>
      <c r="D46" s="69"/>
      <c r="E46" s="69"/>
      <c r="F46" s="69"/>
      <c r="G46" s="69"/>
      <c r="H46" s="69"/>
      <c r="I46" s="7"/>
    </row>
    <row r="47" spans="2:9" x14ac:dyDescent="0.25">
      <c r="B47" s="68" t="s">
        <v>110</v>
      </c>
      <c r="C47" s="68"/>
      <c r="D47" s="68"/>
      <c r="E47" s="68"/>
      <c r="F47" s="68"/>
      <c r="G47" s="68"/>
      <c r="I47" s="7"/>
    </row>
    <row r="48" spans="2:9" x14ac:dyDescent="0.25">
      <c r="B48" s="14" t="s">
        <v>113</v>
      </c>
      <c r="C48" s="28">
        <v>172025</v>
      </c>
      <c r="D48" s="28">
        <v>97423</v>
      </c>
      <c r="E48" s="28">
        <v>13728</v>
      </c>
      <c r="F48" s="28">
        <v>65826</v>
      </c>
      <c r="G48" s="28">
        <f>SUM(C48:F48)</f>
        <v>349002</v>
      </c>
      <c r="H48" s="7"/>
      <c r="I48" s="7"/>
    </row>
    <row r="49" spans="2:9" x14ac:dyDescent="0.25">
      <c r="B49" s="14" t="s">
        <v>114</v>
      </c>
      <c r="C49" s="28">
        <f>( 81054510280+  1438094137)/1000000</f>
        <v>82492.604416999995</v>
      </c>
      <c r="D49" s="28">
        <v>35559.048330999998</v>
      </c>
      <c r="E49" s="28">
        <v>10660.794287999999</v>
      </c>
      <c r="F49" s="12">
        <v>11740.688029000001</v>
      </c>
      <c r="G49" s="11">
        <f>SUM(C49:F49)</f>
        <v>140453.13506500001</v>
      </c>
      <c r="H49" s="7"/>
      <c r="I49" s="7"/>
    </row>
    <row r="50" spans="2:9" x14ac:dyDescent="0.25">
      <c r="B50" s="69"/>
      <c r="C50" s="69"/>
      <c r="D50" s="69"/>
      <c r="E50" s="69"/>
      <c r="F50" s="69"/>
      <c r="G50" s="69"/>
      <c r="H50" s="69"/>
    </row>
    <row r="51" spans="2:9" ht="21" x14ac:dyDescent="0.35">
      <c r="B51" s="78" t="s">
        <v>38</v>
      </c>
      <c r="C51" s="79"/>
      <c r="D51" s="79"/>
      <c r="E51" s="79"/>
      <c r="F51" s="79"/>
      <c r="G51" s="80"/>
    </row>
    <row r="52" spans="2:9" x14ac:dyDescent="0.25">
      <c r="B52" s="86"/>
      <c r="C52" s="86"/>
      <c r="D52" s="86"/>
      <c r="E52" s="86"/>
      <c r="F52" s="86"/>
      <c r="G52" s="86"/>
      <c r="H52" s="86"/>
    </row>
    <row r="53" spans="2:9" x14ac:dyDescent="0.25">
      <c r="B53" s="68" t="s">
        <v>39</v>
      </c>
      <c r="C53" s="68"/>
      <c r="D53" s="68"/>
      <c r="E53" s="68"/>
      <c r="F53" s="68"/>
      <c r="G53" s="68"/>
    </row>
    <row r="54" spans="2:9" x14ac:dyDescent="0.25">
      <c r="B54" s="73" t="s">
        <v>40</v>
      </c>
      <c r="C54" s="73"/>
      <c r="D54" s="73"/>
      <c r="E54" s="73"/>
      <c r="F54" s="73"/>
      <c r="G54" s="73"/>
    </row>
    <row r="55" spans="2:9" x14ac:dyDescent="0.25">
      <c r="B55" s="14" t="s">
        <v>41</v>
      </c>
      <c r="C55" s="28">
        <v>69587</v>
      </c>
      <c r="D55" s="28">
        <v>6248</v>
      </c>
      <c r="E55" s="28">
        <v>1053</v>
      </c>
      <c r="F55" s="28">
        <v>5119</v>
      </c>
      <c r="G55" s="28">
        <f t="shared" ref="G55:G71" si="0">SUM(C55:F55)</f>
        <v>82007</v>
      </c>
    </row>
    <row r="56" spans="2:9" x14ac:dyDescent="0.25">
      <c r="B56" s="14" t="s">
        <v>42</v>
      </c>
      <c r="C56" s="28">
        <v>49871.138037999997</v>
      </c>
      <c r="D56" s="28">
        <v>9755.5976869999995</v>
      </c>
      <c r="E56" s="28">
        <v>1515.4530110000001</v>
      </c>
      <c r="F56" s="28">
        <v>11550</v>
      </c>
      <c r="G56" s="28">
        <f t="shared" si="0"/>
        <v>72692.188735999996</v>
      </c>
    </row>
    <row r="57" spans="2:9" x14ac:dyDescent="0.25">
      <c r="B57" s="14" t="s">
        <v>43</v>
      </c>
      <c r="C57" s="28">
        <v>13.509434233405701</v>
      </c>
      <c r="D57" s="28">
        <v>39.11292686566587</v>
      </c>
      <c r="E57" s="28">
        <v>23</v>
      </c>
      <c r="F57" s="28">
        <v>31</v>
      </c>
      <c r="G57" s="28">
        <f>AVERAGE(C57:F57)</f>
        <v>26.655590274767892</v>
      </c>
    </row>
    <row r="58" spans="2:9" x14ac:dyDescent="0.25">
      <c r="B58" s="14" t="s">
        <v>44</v>
      </c>
      <c r="C58" s="28">
        <v>722511</v>
      </c>
      <c r="D58" s="28">
        <v>163507</v>
      </c>
      <c r="E58" s="28">
        <v>51318</v>
      </c>
      <c r="F58" s="28">
        <v>69330</v>
      </c>
      <c r="G58" s="28">
        <f t="shared" si="0"/>
        <v>1006666</v>
      </c>
    </row>
    <row r="59" spans="2:9" x14ac:dyDescent="0.25">
      <c r="B59" s="14" t="s">
        <v>115</v>
      </c>
      <c r="C59" s="28">
        <v>1732063.494374</v>
      </c>
      <c r="D59" s="28">
        <v>329216.93278700003</v>
      </c>
      <c r="E59" s="28">
        <v>112663.29145600001</v>
      </c>
      <c r="F59" s="28">
        <v>148791</v>
      </c>
      <c r="G59" s="11">
        <f t="shared" si="0"/>
        <v>2322734.7186170002</v>
      </c>
    </row>
    <row r="60" spans="2:9" x14ac:dyDescent="0.25">
      <c r="B60" s="73" t="s">
        <v>45</v>
      </c>
      <c r="C60" s="73"/>
      <c r="D60" s="73"/>
      <c r="E60" s="73"/>
      <c r="F60" s="73"/>
      <c r="G60" s="73"/>
    </row>
    <row r="61" spans="2:9" x14ac:dyDescent="0.25">
      <c r="B61" s="14" t="s">
        <v>41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42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43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44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115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3" t="s">
        <v>46</v>
      </c>
      <c r="C66" s="73"/>
      <c r="D66" s="73"/>
      <c r="E66" s="73"/>
      <c r="F66" s="73"/>
      <c r="G66" s="73"/>
    </row>
    <row r="67" spans="2:8" x14ac:dyDescent="0.25">
      <c r="B67" s="14" t="s">
        <v>41</v>
      </c>
      <c r="C67" s="28">
        <v>9819</v>
      </c>
      <c r="D67" s="28">
        <v>2319</v>
      </c>
      <c r="E67" s="28">
        <v>1318</v>
      </c>
      <c r="F67" s="28">
        <v>17132</v>
      </c>
      <c r="G67" s="28">
        <f t="shared" si="0"/>
        <v>30588</v>
      </c>
    </row>
    <row r="68" spans="2:8" x14ac:dyDescent="0.25">
      <c r="B68" s="14" t="s">
        <v>42</v>
      </c>
      <c r="C68" s="28">
        <v>7427.6182829999998</v>
      </c>
      <c r="D68" s="28">
        <v>2399.556004</v>
      </c>
      <c r="E68" s="28">
        <v>1413.537302</v>
      </c>
      <c r="F68" s="28">
        <v>20478</v>
      </c>
      <c r="G68" s="28">
        <f t="shared" si="0"/>
        <v>31718.711588999999</v>
      </c>
    </row>
    <row r="69" spans="2:8" x14ac:dyDescent="0.25">
      <c r="B69" s="14" t="s">
        <v>43</v>
      </c>
      <c r="C69" s="28">
        <v>39.7945819329871</v>
      </c>
      <c r="D69" s="28">
        <v>55.053269893338623</v>
      </c>
      <c r="E69" s="28">
        <v>51</v>
      </c>
      <c r="F69" s="28">
        <v>40</v>
      </c>
      <c r="G69" s="28">
        <f>AVERAGE(C69:F69)</f>
        <v>46.461962956581431</v>
      </c>
    </row>
    <row r="70" spans="2:8" x14ac:dyDescent="0.25">
      <c r="B70" s="14" t="s">
        <v>44</v>
      </c>
      <c r="C70" s="28">
        <v>119736</v>
      </c>
      <c r="D70" s="28">
        <v>88540</v>
      </c>
      <c r="E70" s="28">
        <v>54940</v>
      </c>
      <c r="F70" s="28">
        <v>253612</v>
      </c>
      <c r="G70" s="28">
        <f t="shared" si="0"/>
        <v>516828</v>
      </c>
    </row>
    <row r="71" spans="2:8" x14ac:dyDescent="0.25">
      <c r="B71" s="14" t="s">
        <v>115</v>
      </c>
      <c r="C71" s="28">
        <v>117243.86287</v>
      </c>
      <c r="D71" s="28">
        <v>94184.252041999993</v>
      </c>
      <c r="E71" s="28">
        <v>55741.909807999997</v>
      </c>
      <c r="F71" s="28">
        <v>215421</v>
      </c>
      <c r="G71" s="11">
        <f t="shared" si="0"/>
        <v>482591.02471999999</v>
      </c>
    </row>
    <row r="72" spans="2:8" x14ac:dyDescent="0.25">
      <c r="B72" s="82" t="s">
        <v>47</v>
      </c>
      <c r="C72" s="83"/>
      <c r="D72" s="83"/>
      <c r="E72" s="83"/>
      <c r="F72" s="83"/>
      <c r="G72" s="84"/>
    </row>
    <row r="73" spans="2:8" x14ac:dyDescent="0.25">
      <c r="B73" s="18" t="s">
        <v>116</v>
      </c>
      <c r="C73" s="19">
        <f>+C55+C67</f>
        <v>79406</v>
      </c>
      <c r="D73" s="19">
        <f>+D67+D61+D55</f>
        <v>8567</v>
      </c>
      <c r="E73" s="19">
        <f t="shared" ref="E73:E74" si="1">+E67+E61+E55</f>
        <v>2371</v>
      </c>
      <c r="F73" s="19">
        <f>+F55+F67</f>
        <v>22251</v>
      </c>
      <c r="G73" s="19">
        <f>SUM(C73:F73)</f>
        <v>112595</v>
      </c>
    </row>
    <row r="74" spans="2:8" x14ac:dyDescent="0.25">
      <c r="B74" s="18" t="s">
        <v>42</v>
      </c>
      <c r="C74" s="19">
        <f>+C56+C68</f>
        <v>57298.756320999993</v>
      </c>
      <c r="D74" s="19">
        <f t="shared" ref="D74:E77" si="2">+D68+D62+D56</f>
        <v>12155.153691</v>
      </c>
      <c r="E74" s="19">
        <f t="shared" si="1"/>
        <v>2928.9903130000002</v>
      </c>
      <c r="F74" s="19">
        <f>+F56+F68</f>
        <v>32028</v>
      </c>
      <c r="G74" s="22">
        <f>SUM(C74:F74)</f>
        <v>104410.900325</v>
      </c>
    </row>
    <row r="75" spans="2:8" x14ac:dyDescent="0.25">
      <c r="B75" s="18" t="s">
        <v>43</v>
      </c>
      <c r="C75" s="19">
        <v>0</v>
      </c>
      <c r="D75" s="19">
        <f>(+D57+D63+D69)/3</f>
        <v>31.388732253001496</v>
      </c>
      <c r="E75" s="19">
        <v>0</v>
      </c>
      <c r="F75" s="19">
        <f>(F57+F69)/2</f>
        <v>35.5</v>
      </c>
      <c r="G75" s="19">
        <f>AVERAGE(C75:F75)</f>
        <v>16.722183063250373</v>
      </c>
    </row>
    <row r="76" spans="2:8" x14ac:dyDescent="0.25">
      <c r="B76" s="18" t="s">
        <v>44</v>
      </c>
      <c r="C76" s="19">
        <f>+C58+C70</f>
        <v>842247</v>
      </c>
      <c r="D76" s="19">
        <f t="shared" si="2"/>
        <v>252047</v>
      </c>
      <c r="E76" s="19">
        <f t="shared" si="2"/>
        <v>106258</v>
      </c>
      <c r="F76" s="19">
        <f>+F58+F70</f>
        <v>322942</v>
      </c>
      <c r="G76" s="19">
        <f>SUM(C76:F76)</f>
        <v>1523494</v>
      </c>
    </row>
    <row r="77" spans="2:8" x14ac:dyDescent="0.25">
      <c r="B77" s="18" t="s">
        <v>115</v>
      </c>
      <c r="C77" s="19">
        <f>+C59+C71</f>
        <v>1849307.3572440001</v>
      </c>
      <c r="D77" s="19">
        <f>+D71+D65+D59</f>
        <v>423401.18482900003</v>
      </c>
      <c r="E77" s="19">
        <f t="shared" si="2"/>
        <v>168405.201264</v>
      </c>
      <c r="F77" s="19">
        <f>+F59+F71</f>
        <v>364212</v>
      </c>
      <c r="G77" s="22">
        <f>SUM(C77:F77)</f>
        <v>2805325.7433370003</v>
      </c>
    </row>
    <row r="78" spans="2:8" x14ac:dyDescent="0.25">
      <c r="B78" s="69"/>
      <c r="C78" s="69"/>
      <c r="D78" s="69"/>
      <c r="E78" s="69"/>
      <c r="F78" s="69"/>
      <c r="G78" s="69"/>
      <c r="H78" s="69"/>
    </row>
    <row r="79" spans="2:8" x14ac:dyDescent="0.25">
      <c r="B79" s="74" t="s">
        <v>48</v>
      </c>
      <c r="C79" s="75"/>
      <c r="D79" s="75"/>
      <c r="E79" s="75"/>
      <c r="F79" s="75"/>
      <c r="G79" s="76"/>
    </row>
    <row r="80" spans="2:8" x14ac:dyDescent="0.25">
      <c r="B80" s="70" t="s">
        <v>40</v>
      </c>
      <c r="C80" s="71"/>
      <c r="D80" s="71"/>
      <c r="E80" s="71"/>
      <c r="F80" s="71"/>
      <c r="G80" s="72"/>
    </row>
    <row r="81" spans="2:7" x14ac:dyDescent="0.25">
      <c r="B81" s="14" t="s">
        <v>41</v>
      </c>
      <c r="C81" s="24">
        <v>0</v>
      </c>
      <c r="D81" s="24">
        <v>0</v>
      </c>
      <c r="E81" s="24">
        <v>0</v>
      </c>
      <c r="F81" s="28">
        <v>0</v>
      </c>
      <c r="G81" s="20">
        <f>SUM(C81:F81)</f>
        <v>0</v>
      </c>
    </row>
    <row r="82" spans="2:7" x14ac:dyDescent="0.25">
      <c r="B82" s="14" t="s">
        <v>42</v>
      </c>
      <c r="C82" s="24">
        <v>0</v>
      </c>
      <c r="D82" s="24">
        <v>0</v>
      </c>
      <c r="E82" s="24">
        <v>0</v>
      </c>
      <c r="F82" s="28">
        <v>0</v>
      </c>
      <c r="G82" s="24">
        <f>SUM(C82:F82)</f>
        <v>0</v>
      </c>
    </row>
    <row r="83" spans="2:7" x14ac:dyDescent="0.25">
      <c r="B83" s="14" t="s">
        <v>43</v>
      </c>
      <c r="C83" s="24">
        <v>0</v>
      </c>
      <c r="D83" s="24">
        <v>0</v>
      </c>
      <c r="E83" s="24">
        <v>0</v>
      </c>
      <c r="F83" s="28">
        <v>0</v>
      </c>
      <c r="G83" s="24">
        <f>AVERAGE(C83:F83)</f>
        <v>0</v>
      </c>
    </row>
    <row r="84" spans="2:7" x14ac:dyDescent="0.25">
      <c r="B84" s="14" t="s">
        <v>44</v>
      </c>
      <c r="C84" s="28">
        <v>1026</v>
      </c>
      <c r="D84" s="28">
        <v>120</v>
      </c>
      <c r="E84" s="28">
        <v>6</v>
      </c>
      <c r="F84" s="24">
        <v>100</v>
      </c>
      <c r="G84" s="24">
        <f>SUM(C84:F84)</f>
        <v>1252</v>
      </c>
    </row>
    <row r="85" spans="2:7" x14ac:dyDescent="0.25">
      <c r="B85" s="14" t="s">
        <v>115</v>
      </c>
      <c r="C85" s="28">
        <v>22286.508353000001</v>
      </c>
      <c r="D85" s="28">
        <v>1510</v>
      </c>
      <c r="E85" s="28">
        <v>79</v>
      </c>
      <c r="F85" s="28">
        <v>1853.6260769999999</v>
      </c>
      <c r="G85" s="11">
        <f>SUM(C85:F85)</f>
        <v>25729.134430000002</v>
      </c>
    </row>
    <row r="86" spans="2:7" x14ac:dyDescent="0.25">
      <c r="B86" s="70" t="s">
        <v>45</v>
      </c>
      <c r="C86" s="71"/>
      <c r="D86" s="71"/>
      <c r="E86" s="71"/>
      <c r="F86" s="71"/>
      <c r="G86" s="72"/>
    </row>
    <row r="87" spans="2:7" x14ac:dyDescent="0.25">
      <c r="B87" s="14" t="s">
        <v>41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42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43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44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115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0" t="s">
        <v>46</v>
      </c>
      <c r="C92" s="71"/>
      <c r="D92" s="71"/>
      <c r="E92" s="71"/>
      <c r="F92" s="71"/>
      <c r="G92" s="72"/>
    </row>
    <row r="93" spans="2:7" x14ac:dyDescent="0.25">
      <c r="B93" s="14" t="s">
        <v>41</v>
      </c>
      <c r="C93" s="28">
        <v>0</v>
      </c>
      <c r="D93" s="28">
        <v>0</v>
      </c>
      <c r="E93" s="28">
        <v>0</v>
      </c>
      <c r="F93" s="28">
        <v>0</v>
      </c>
      <c r="G93" s="28">
        <f>SUM(C93:F93)</f>
        <v>0</v>
      </c>
    </row>
    <row r="94" spans="2:7" x14ac:dyDescent="0.25">
      <c r="B94" s="14" t="s">
        <v>42</v>
      </c>
      <c r="C94" s="28">
        <v>0</v>
      </c>
      <c r="D94" s="28">
        <v>0</v>
      </c>
      <c r="E94" s="28">
        <v>0</v>
      </c>
      <c r="F94" s="28">
        <v>0</v>
      </c>
      <c r="G94" s="28">
        <f>SUM(C94:F94)</f>
        <v>0</v>
      </c>
    </row>
    <row r="95" spans="2:7" x14ac:dyDescent="0.25">
      <c r="B95" s="14" t="s">
        <v>43</v>
      </c>
      <c r="C95" s="28">
        <v>0</v>
      </c>
      <c r="D95" s="28">
        <v>0</v>
      </c>
      <c r="E95" s="28">
        <v>0</v>
      </c>
      <c r="F95" s="28">
        <v>0</v>
      </c>
      <c r="G95" s="28">
        <f>AVERAGE(C95:F95)</f>
        <v>0</v>
      </c>
    </row>
    <row r="96" spans="2:7" x14ac:dyDescent="0.25">
      <c r="B96" s="14" t="s">
        <v>44</v>
      </c>
      <c r="C96" s="28">
        <v>12</v>
      </c>
      <c r="D96" s="28">
        <v>0</v>
      </c>
      <c r="E96" s="28">
        <v>0</v>
      </c>
      <c r="F96" s="28">
        <v>7</v>
      </c>
      <c r="G96" s="28">
        <f>SUM(C96:F96)</f>
        <v>19</v>
      </c>
    </row>
    <row r="97" spans="2:8" x14ac:dyDescent="0.25">
      <c r="B97" s="14" t="s">
        <v>115</v>
      </c>
      <c r="C97" s="28">
        <v>191.46704399999999</v>
      </c>
      <c r="D97" s="28">
        <v>0</v>
      </c>
      <c r="E97" s="28">
        <v>0</v>
      </c>
      <c r="F97" s="28">
        <v>90.994444000000001</v>
      </c>
      <c r="G97" s="11">
        <f>SUM(C97:F97)</f>
        <v>282.46148799999997</v>
      </c>
    </row>
    <row r="98" spans="2:8" x14ac:dyDescent="0.25">
      <c r="B98" s="82" t="s">
        <v>49</v>
      </c>
      <c r="C98" s="83"/>
      <c r="D98" s="83"/>
      <c r="E98" s="83"/>
      <c r="F98" s="83"/>
      <c r="G98" s="84"/>
    </row>
    <row r="99" spans="2:8" x14ac:dyDescent="0.25">
      <c r="B99" s="18" t="s">
        <v>41</v>
      </c>
      <c r="C99" s="19">
        <v>0</v>
      </c>
      <c r="D99" s="19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42</v>
      </c>
      <c r="C100" s="19">
        <v>0</v>
      </c>
      <c r="D100" s="19">
        <v>0</v>
      </c>
      <c r="E100" s="19">
        <v>0</v>
      </c>
      <c r="F100" s="19">
        <v>0</v>
      </c>
      <c r="G100" s="22">
        <f>SUM(C100:F100)</f>
        <v>0</v>
      </c>
    </row>
    <row r="101" spans="2:8" x14ac:dyDescent="0.25">
      <c r="B101" s="18" t="s">
        <v>43</v>
      </c>
      <c r="C101" s="19">
        <v>0</v>
      </c>
      <c r="D101" s="19">
        <v>0</v>
      </c>
      <c r="E101" s="19">
        <v>0</v>
      </c>
      <c r="F101" s="19">
        <v>0</v>
      </c>
      <c r="G101" s="19">
        <f>AVERAGE(C101:F101)</f>
        <v>0</v>
      </c>
    </row>
    <row r="102" spans="2:8" x14ac:dyDescent="0.25">
      <c r="B102" s="18" t="s">
        <v>44</v>
      </c>
      <c r="C102" s="19">
        <f>+C96+C84</f>
        <v>1038</v>
      </c>
      <c r="D102" s="19">
        <f t="shared" ref="D102:D103" si="3">+D96+D90+D84</f>
        <v>120</v>
      </c>
      <c r="E102" s="19">
        <f>+E84</f>
        <v>6</v>
      </c>
      <c r="F102" s="19">
        <f>+F96+F84</f>
        <v>107</v>
      </c>
      <c r="G102" s="19">
        <f>SUM(C102:F102)</f>
        <v>1271</v>
      </c>
    </row>
    <row r="103" spans="2:8" x14ac:dyDescent="0.25">
      <c r="B103" s="18" t="s">
        <v>115</v>
      </c>
      <c r="C103" s="19">
        <f>+C97+C85</f>
        <v>22477.975397000002</v>
      </c>
      <c r="D103" s="19">
        <f t="shared" si="3"/>
        <v>1510</v>
      </c>
      <c r="E103" s="19">
        <f>+E85</f>
        <v>79</v>
      </c>
      <c r="F103" s="19">
        <f>+F85+F97</f>
        <v>1944.6205209999998</v>
      </c>
      <c r="G103" s="22">
        <f>SUM(C103:F103)</f>
        <v>26011.595918000003</v>
      </c>
    </row>
    <row r="104" spans="2:8" x14ac:dyDescent="0.25">
      <c r="B104" s="69"/>
      <c r="C104" s="69"/>
      <c r="D104" s="69"/>
      <c r="E104" s="69"/>
      <c r="F104" s="69"/>
      <c r="G104" s="69"/>
      <c r="H104" s="69"/>
    </row>
    <row r="105" spans="2:8" x14ac:dyDescent="0.25">
      <c r="B105" s="68" t="s">
        <v>50</v>
      </c>
      <c r="C105" s="68"/>
      <c r="D105" s="68"/>
      <c r="E105" s="68"/>
      <c r="F105" s="68"/>
      <c r="G105" s="68"/>
    </row>
    <row r="106" spans="2:8" x14ac:dyDescent="0.25">
      <c r="B106" s="73" t="s">
        <v>51</v>
      </c>
      <c r="C106" s="73"/>
      <c r="D106" s="73"/>
      <c r="E106" s="73"/>
      <c r="F106" s="73"/>
      <c r="G106" s="73"/>
    </row>
    <row r="107" spans="2:8" x14ac:dyDescent="0.25">
      <c r="B107" s="14" t="s">
        <v>52</v>
      </c>
      <c r="C107" s="13">
        <v>2.4081289400805521</v>
      </c>
      <c r="D107" s="13">
        <v>2.449999999999946</v>
      </c>
      <c r="E107" s="31">
        <v>2.6</v>
      </c>
      <c r="F107" s="13">
        <v>2.4900000000000002</v>
      </c>
      <c r="G107" s="13">
        <f>AVERAGE(C107:F107)</f>
        <v>2.4870322350201244</v>
      </c>
    </row>
    <row r="108" spans="2:8" x14ac:dyDescent="0.25">
      <c r="B108" s="14" t="s">
        <v>53</v>
      </c>
      <c r="C108" s="13">
        <v>2.1742744063325268</v>
      </c>
      <c r="D108" s="13">
        <v>2.4435356200527463</v>
      </c>
      <c r="E108" s="32">
        <v>2.65</v>
      </c>
      <c r="F108" s="13">
        <v>2.4900000000000002</v>
      </c>
      <c r="G108" s="13">
        <f>AVERAGE(C108:F108)</f>
        <v>2.4394525065963184</v>
      </c>
    </row>
    <row r="109" spans="2:8" x14ac:dyDescent="0.25">
      <c r="B109" s="14" t="s">
        <v>54</v>
      </c>
      <c r="C109" s="13">
        <v>2.0155946688388808</v>
      </c>
      <c r="D109" s="13">
        <v>2.6145463510848361</v>
      </c>
      <c r="E109" s="31">
        <v>2.73</v>
      </c>
      <c r="F109" s="13">
        <v>2.57</v>
      </c>
      <c r="G109" s="13">
        <f>AVERAGE(C109:F109)</f>
        <v>2.4825352549809292</v>
      </c>
    </row>
    <row r="110" spans="2:8" x14ac:dyDescent="0.25">
      <c r="B110" s="73" t="s">
        <v>55</v>
      </c>
      <c r="C110" s="73"/>
      <c r="D110" s="73"/>
      <c r="E110" s="73"/>
      <c r="F110" s="73"/>
      <c r="G110" s="73"/>
    </row>
    <row r="111" spans="2:8" x14ac:dyDescent="0.25">
      <c r="B111" s="14" t="s">
        <v>52</v>
      </c>
      <c r="C111" s="13">
        <v>1.8499999999999999</v>
      </c>
      <c r="D111" s="13">
        <v>1.6000000000000003</v>
      </c>
      <c r="E111" s="31">
        <v>0</v>
      </c>
      <c r="F111" s="13">
        <v>1.91</v>
      </c>
      <c r="G111" s="13">
        <f>AVERAGE(C111:F111)</f>
        <v>1.34</v>
      </c>
    </row>
    <row r="112" spans="2:8" x14ac:dyDescent="0.25">
      <c r="B112" s="14" t="s">
        <v>53</v>
      </c>
      <c r="C112" s="13">
        <v>1.8499999999999974</v>
      </c>
      <c r="D112" s="13">
        <v>2.1599999999999984</v>
      </c>
      <c r="E112" s="31">
        <v>2.15</v>
      </c>
      <c r="F112" s="31">
        <v>2.14</v>
      </c>
      <c r="G112" s="13">
        <f>AVERAGE(C112:F112)</f>
        <v>2.0749999999999993</v>
      </c>
    </row>
    <row r="113" spans="2:9" x14ac:dyDescent="0.25">
      <c r="B113" s="14" t="s">
        <v>54</v>
      </c>
      <c r="C113" s="13">
        <v>1.8300165289256247</v>
      </c>
      <c r="D113" s="13">
        <v>2.1600000000000099</v>
      </c>
      <c r="E113" s="31">
        <v>2.37</v>
      </c>
      <c r="F113" s="31">
        <v>2.15</v>
      </c>
      <c r="G113" s="13">
        <f>AVERAGE(C113:F113)</f>
        <v>2.1275041322314086</v>
      </c>
    </row>
    <row r="114" spans="2:9" x14ac:dyDescent="0.25">
      <c r="B114" s="69"/>
      <c r="C114" s="69"/>
      <c r="D114" s="69"/>
      <c r="E114" s="69"/>
      <c r="F114" s="69"/>
      <c r="G114" s="69"/>
      <c r="H114" s="69"/>
      <c r="I114" s="69"/>
    </row>
    <row r="115" spans="2:9" x14ac:dyDescent="0.25">
      <c r="B115" s="73" t="s">
        <v>56</v>
      </c>
      <c r="C115" s="73"/>
      <c r="D115" s="73"/>
      <c r="E115" s="73"/>
      <c r="F115" s="73"/>
      <c r="G115" s="73"/>
    </row>
    <row r="116" spans="2:9" x14ac:dyDescent="0.25">
      <c r="B116" s="14" t="s">
        <v>52</v>
      </c>
      <c r="C116" s="13">
        <v>1.5574154589372298</v>
      </c>
      <c r="D116" s="13">
        <v>1.7900000000000058</v>
      </c>
      <c r="E116" s="32">
        <v>1.77</v>
      </c>
      <c r="F116" s="32">
        <v>1.77</v>
      </c>
      <c r="G116" s="13">
        <f>AVERAGE(C116:F116)</f>
        <v>1.7218538647343089</v>
      </c>
    </row>
    <row r="117" spans="2:9" x14ac:dyDescent="0.25">
      <c r="B117" s="14" t="s">
        <v>53</v>
      </c>
      <c r="C117" s="13">
        <v>1.7579635129402786</v>
      </c>
      <c r="D117" s="13">
        <v>1.7900000000000074</v>
      </c>
      <c r="E117" s="32">
        <v>1.77</v>
      </c>
      <c r="F117" s="32">
        <v>1.77</v>
      </c>
      <c r="G117" s="13">
        <f>AVERAGE(C117:F117)</f>
        <v>1.7719908782350715</v>
      </c>
    </row>
    <row r="118" spans="2:9" x14ac:dyDescent="0.25">
      <c r="B118" s="14" t="s">
        <v>54</v>
      </c>
      <c r="C118" s="13">
        <v>1.7088974115572202</v>
      </c>
      <c r="D118" s="13">
        <v>1.7889495305163996</v>
      </c>
      <c r="E118" s="32">
        <v>2</v>
      </c>
      <c r="F118" s="13">
        <v>1.89</v>
      </c>
      <c r="G118" s="13">
        <f>AVERAGE(C118:F118)</f>
        <v>1.8469617355184049</v>
      </c>
    </row>
    <row r="119" spans="2:9" x14ac:dyDescent="0.25">
      <c r="B119" s="70" t="s">
        <v>57</v>
      </c>
      <c r="C119" s="71"/>
      <c r="D119" s="71"/>
      <c r="E119" s="71"/>
      <c r="F119" s="71"/>
      <c r="G119" s="72"/>
    </row>
    <row r="120" spans="2:9" x14ac:dyDescent="0.25">
      <c r="B120" s="14" t="s">
        <v>52</v>
      </c>
      <c r="C120" s="13">
        <v>0</v>
      </c>
      <c r="D120" s="13">
        <v>1.43</v>
      </c>
      <c r="E120" s="31">
        <v>0</v>
      </c>
      <c r="F120" s="13">
        <v>0.39</v>
      </c>
      <c r="G120" s="13">
        <f>AVERAGE(C120:F120)</f>
        <v>0.45499999999999996</v>
      </c>
    </row>
    <row r="121" spans="2:9" x14ac:dyDescent="0.25">
      <c r="B121" s="14" t="s">
        <v>53</v>
      </c>
      <c r="C121" s="58">
        <v>1.34</v>
      </c>
      <c r="D121" s="13">
        <v>1.43</v>
      </c>
      <c r="E121" s="31">
        <v>0</v>
      </c>
      <c r="F121" s="13">
        <v>1.42</v>
      </c>
      <c r="G121" s="13">
        <f>AVERAGE(C121:F121)</f>
        <v>1.0474999999999999</v>
      </c>
    </row>
    <row r="122" spans="2:9" x14ac:dyDescent="0.25">
      <c r="B122" s="14" t="s">
        <v>54</v>
      </c>
      <c r="C122" s="13">
        <v>1.43</v>
      </c>
      <c r="D122" s="13">
        <v>1.43</v>
      </c>
      <c r="E122" s="31">
        <v>1.68</v>
      </c>
      <c r="F122" s="13">
        <v>1.47</v>
      </c>
      <c r="G122" s="13">
        <f>AVERAGE(C122:F122)</f>
        <v>1.5024999999999999</v>
      </c>
    </row>
    <row r="123" spans="2:9" x14ac:dyDescent="0.25">
      <c r="B123" s="69"/>
      <c r="C123" s="69"/>
      <c r="D123" s="69"/>
      <c r="E123" s="69"/>
      <c r="F123" s="69"/>
      <c r="G123" s="69"/>
      <c r="H123" s="69"/>
    </row>
    <row r="124" spans="2:9" x14ac:dyDescent="0.25">
      <c r="B124" s="74" t="s">
        <v>58</v>
      </c>
      <c r="C124" s="75"/>
      <c r="D124" s="75"/>
      <c r="E124" s="75"/>
      <c r="F124" s="75"/>
      <c r="G124" s="76"/>
    </row>
    <row r="125" spans="2:9" x14ac:dyDescent="0.25">
      <c r="B125" s="2" t="s">
        <v>59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4" t="s">
        <v>60</v>
      </c>
      <c r="C126" s="75"/>
      <c r="D126" s="75"/>
      <c r="E126" s="75"/>
      <c r="F126" s="75"/>
      <c r="G126" s="76"/>
    </row>
    <row r="127" spans="2:9" x14ac:dyDescent="0.25">
      <c r="B127" s="3" t="s">
        <v>61</v>
      </c>
      <c r="C127" s="13">
        <v>1.59</v>
      </c>
      <c r="D127" s="42">
        <v>2.0343092798411999</v>
      </c>
      <c r="E127" s="67">
        <v>2.0195660000000002</v>
      </c>
      <c r="F127" s="4">
        <v>0</v>
      </c>
      <c r="G127" s="11">
        <f>AVERAGE(C127:E127)</f>
        <v>1.8812917599470669</v>
      </c>
    </row>
    <row r="128" spans="2:9" x14ac:dyDescent="0.25">
      <c r="B128" s="81"/>
      <c r="C128" s="81"/>
      <c r="D128" s="81"/>
      <c r="E128" s="81"/>
      <c r="F128" s="81"/>
      <c r="G128" s="81"/>
      <c r="H128" s="81"/>
    </row>
    <row r="129" spans="2:9" x14ac:dyDescent="0.25">
      <c r="B129" s="68" t="s">
        <v>62</v>
      </c>
      <c r="C129" s="68"/>
      <c r="D129" s="68"/>
      <c r="E129" s="68"/>
      <c r="F129" s="68"/>
      <c r="G129" s="68"/>
    </row>
    <row r="130" spans="2:9" x14ac:dyDescent="0.25">
      <c r="B130" s="14" t="s">
        <v>63</v>
      </c>
      <c r="C130" s="28">
        <v>254295</v>
      </c>
      <c r="D130" s="28">
        <v>3623</v>
      </c>
      <c r="E130" s="28">
        <v>8568</v>
      </c>
      <c r="F130" s="28">
        <v>812</v>
      </c>
      <c r="G130" s="28">
        <f>SUM(C130:F130)</f>
        <v>267298</v>
      </c>
    </row>
    <row r="131" spans="2:9" x14ac:dyDescent="0.25">
      <c r="B131" s="14" t="s">
        <v>64</v>
      </c>
      <c r="C131" s="28">
        <v>173813.981165</v>
      </c>
      <c r="D131" s="28">
        <v>3873.9421550000002</v>
      </c>
      <c r="E131" s="28">
        <v>1152</v>
      </c>
      <c r="F131" s="28">
        <v>838.19634099999996</v>
      </c>
      <c r="G131" s="11">
        <f>SUM(C131:F131)</f>
        <v>179678.119661</v>
      </c>
    </row>
    <row r="132" spans="2:9" x14ac:dyDescent="0.25">
      <c r="B132" s="69"/>
      <c r="C132" s="69"/>
      <c r="D132" s="69"/>
      <c r="E132" s="69"/>
      <c r="F132" s="69"/>
      <c r="G132" s="69"/>
      <c r="H132" s="69"/>
    </row>
    <row r="133" spans="2:9" x14ac:dyDescent="0.25">
      <c r="B133" s="68" t="s">
        <v>65</v>
      </c>
      <c r="C133" s="68"/>
      <c r="D133" s="68"/>
      <c r="E133" s="68"/>
      <c r="F133" s="68"/>
      <c r="G133" s="68"/>
    </row>
    <row r="134" spans="2:9" x14ac:dyDescent="0.25">
      <c r="B134" s="14" t="s">
        <v>66</v>
      </c>
      <c r="C134" s="28">
        <v>493751</v>
      </c>
      <c r="D134" s="28">
        <v>371601</v>
      </c>
      <c r="E134" s="28">
        <f>97079+24380</f>
        <v>121459</v>
      </c>
      <c r="F134" s="28">
        <v>290470</v>
      </c>
      <c r="G134" s="28">
        <f>SUM(C134:F134)</f>
        <v>1277281</v>
      </c>
    </row>
    <row r="135" spans="2:9" x14ac:dyDescent="0.25">
      <c r="B135" s="69"/>
      <c r="C135" s="69"/>
      <c r="D135" s="69"/>
      <c r="E135" s="69"/>
      <c r="F135" s="69"/>
      <c r="G135" s="69"/>
      <c r="H135" s="69"/>
    </row>
    <row r="136" spans="2:9" ht="21" x14ac:dyDescent="0.35">
      <c r="B136" s="77" t="s">
        <v>67</v>
      </c>
      <c r="C136" s="77"/>
      <c r="D136" s="77"/>
      <c r="E136" s="77"/>
      <c r="F136" s="77"/>
      <c r="G136" s="77"/>
    </row>
    <row r="137" spans="2:9" x14ac:dyDescent="0.25">
      <c r="B137" s="68" t="s">
        <v>68</v>
      </c>
      <c r="C137" s="68"/>
      <c r="D137" s="68"/>
      <c r="E137" s="68"/>
      <c r="F137" s="68"/>
      <c r="G137" s="68"/>
    </row>
    <row r="138" spans="2:9" x14ac:dyDescent="0.25">
      <c r="B138" s="14" t="s">
        <v>69</v>
      </c>
      <c r="C138" s="28">
        <v>0</v>
      </c>
      <c r="D138" s="28">
        <v>0</v>
      </c>
      <c r="E138" s="28">
        <v>0</v>
      </c>
      <c r="F138" s="28">
        <v>15808</v>
      </c>
      <c r="G138" s="28">
        <f>SUM(C138:F138)</f>
        <v>15808</v>
      </c>
      <c r="H138" s="7"/>
      <c r="I138" s="7"/>
    </row>
    <row r="139" spans="2:9" x14ac:dyDescent="0.25">
      <c r="B139" s="14" t="s">
        <v>70</v>
      </c>
      <c r="C139" s="28">
        <v>0</v>
      </c>
      <c r="D139" s="28">
        <v>0</v>
      </c>
      <c r="E139" s="28">
        <v>0</v>
      </c>
      <c r="F139" s="28">
        <v>294</v>
      </c>
      <c r="G139" s="28">
        <f>SUM(C139:F139)</f>
        <v>294</v>
      </c>
      <c r="H139" s="7"/>
      <c r="I139" s="7"/>
    </row>
    <row r="140" spans="2:9" x14ac:dyDescent="0.25">
      <c r="B140" s="69"/>
      <c r="C140" s="69"/>
      <c r="D140" s="69"/>
      <c r="E140" s="69"/>
      <c r="F140" s="69"/>
      <c r="G140" s="69"/>
      <c r="H140" s="69"/>
      <c r="I140" s="7"/>
    </row>
    <row r="141" spans="2:9" x14ac:dyDescent="0.25">
      <c r="B141" s="69"/>
      <c r="C141" s="69"/>
      <c r="D141" s="69"/>
      <c r="E141" s="69"/>
      <c r="F141" s="69"/>
      <c r="G141" s="69"/>
      <c r="H141" s="69"/>
    </row>
    <row r="142" spans="2:9" ht="21" x14ac:dyDescent="0.35">
      <c r="B142" s="78" t="s">
        <v>71</v>
      </c>
      <c r="C142" s="79"/>
      <c r="D142" s="79"/>
      <c r="E142" s="79"/>
      <c r="F142" s="79"/>
      <c r="G142" s="80"/>
    </row>
    <row r="143" spans="2:9" x14ac:dyDescent="0.25">
      <c r="B143" s="74" t="s">
        <v>72</v>
      </c>
      <c r="C143" s="75"/>
      <c r="D143" s="75"/>
      <c r="E143" s="75"/>
      <c r="F143" s="75"/>
      <c r="G143" s="76"/>
    </row>
    <row r="144" spans="2:9" x14ac:dyDescent="0.25">
      <c r="B144" s="69"/>
      <c r="C144" s="69"/>
      <c r="D144" s="69"/>
      <c r="E144" s="69"/>
      <c r="F144" s="69"/>
      <c r="G144" s="69"/>
      <c r="H144" s="69"/>
    </row>
    <row r="145" spans="2:8" x14ac:dyDescent="0.25">
      <c r="B145" s="73" t="s">
        <v>73</v>
      </c>
      <c r="C145" s="73"/>
      <c r="D145" s="73"/>
      <c r="E145" s="73"/>
      <c r="F145" s="73"/>
      <c r="G145" s="73"/>
    </row>
    <row r="146" spans="2:8" x14ac:dyDescent="0.25">
      <c r="B146" s="14" t="s">
        <v>74</v>
      </c>
      <c r="C146" s="28">
        <v>0</v>
      </c>
      <c r="D146" s="28">
        <v>956</v>
      </c>
      <c r="E146" s="28">
        <v>0</v>
      </c>
      <c r="F146" s="1">
        <v>797</v>
      </c>
      <c r="G146" s="28">
        <f>SUM(C146:F146)</f>
        <v>1753</v>
      </c>
    </row>
    <row r="147" spans="2:8" x14ac:dyDescent="0.25">
      <c r="B147" s="14" t="s">
        <v>75</v>
      </c>
      <c r="C147" s="28">
        <v>0</v>
      </c>
      <c r="D147" s="28">
        <v>20.824000000000002</v>
      </c>
      <c r="E147" s="28">
        <v>0</v>
      </c>
      <c r="F147" s="30">
        <v>9.2535000000000007</v>
      </c>
      <c r="G147" s="11">
        <f>SUM(C147:F147)</f>
        <v>30.077500000000001</v>
      </c>
    </row>
    <row r="148" spans="2:8" x14ac:dyDescent="0.25">
      <c r="B148" s="69"/>
      <c r="C148" s="69"/>
      <c r="D148" s="69"/>
      <c r="E148" s="69"/>
      <c r="F148" s="69"/>
      <c r="G148" s="69"/>
      <c r="H148" s="69"/>
    </row>
    <row r="149" spans="2:8" x14ac:dyDescent="0.25">
      <c r="B149" s="73" t="s">
        <v>76</v>
      </c>
      <c r="C149" s="73"/>
      <c r="D149" s="73"/>
      <c r="E149" s="73"/>
      <c r="F149" s="73"/>
      <c r="G149" s="73"/>
    </row>
    <row r="150" spans="2:8" x14ac:dyDescent="0.25">
      <c r="B150" s="14" t="s">
        <v>77</v>
      </c>
      <c r="C150" s="28">
        <v>0</v>
      </c>
      <c r="D150" s="12">
        <v>74</v>
      </c>
      <c r="E150" s="28">
        <v>0</v>
      </c>
      <c r="F150" s="28">
        <v>0</v>
      </c>
      <c r="G150" s="28">
        <f>SUM(C150:F150)</f>
        <v>74</v>
      </c>
      <c r="H150"/>
    </row>
    <row r="151" spans="2:8" x14ac:dyDescent="0.25">
      <c r="B151" s="14" t="s">
        <v>78</v>
      </c>
      <c r="C151" s="28">
        <v>0</v>
      </c>
      <c r="D151" s="12">
        <v>4.29</v>
      </c>
      <c r="E151" s="28">
        <v>0</v>
      </c>
      <c r="F151" s="28">
        <v>0</v>
      </c>
      <c r="G151" s="11">
        <f>SUM(C151:F151)</f>
        <v>4.29</v>
      </c>
      <c r="H151"/>
    </row>
    <row r="152" spans="2:8" x14ac:dyDescent="0.25">
      <c r="B152" s="69"/>
      <c r="C152" s="69"/>
      <c r="D152" s="69"/>
      <c r="E152" s="69"/>
      <c r="F152" s="69"/>
      <c r="G152" s="69"/>
      <c r="H152" s="69"/>
    </row>
    <row r="153" spans="2:8" x14ac:dyDescent="0.25">
      <c r="B153" s="73" t="s">
        <v>79</v>
      </c>
      <c r="C153" s="73"/>
      <c r="D153" s="73"/>
      <c r="E153" s="73"/>
      <c r="F153" s="73"/>
      <c r="G153" s="73"/>
    </row>
    <row r="154" spans="2:8" x14ac:dyDescent="0.25">
      <c r="B154" s="14" t="s">
        <v>80</v>
      </c>
      <c r="C154" s="28">
        <v>0</v>
      </c>
      <c r="D154" s="28">
        <v>1130</v>
      </c>
      <c r="E154" s="28">
        <v>0</v>
      </c>
      <c r="F154" s="35">
        <v>0</v>
      </c>
      <c r="G154" s="28">
        <f>SUM(C154:F154)</f>
        <v>1130</v>
      </c>
      <c r="H154"/>
    </row>
    <row r="155" spans="2:8" x14ac:dyDescent="0.25">
      <c r="B155" s="14" t="s">
        <v>81</v>
      </c>
      <c r="C155" s="28">
        <v>0</v>
      </c>
      <c r="D155" s="28">
        <v>15.191004999999999</v>
      </c>
      <c r="E155" s="28">
        <v>0</v>
      </c>
      <c r="F155" s="30">
        <v>0</v>
      </c>
      <c r="G155" s="11">
        <f>SUM(C155:F155)</f>
        <v>15.191004999999999</v>
      </c>
      <c r="H155"/>
    </row>
    <row r="156" spans="2:8" x14ac:dyDescent="0.25">
      <c r="B156" s="69"/>
      <c r="C156" s="69"/>
      <c r="D156" s="69"/>
      <c r="E156" s="69"/>
      <c r="F156" s="69"/>
      <c r="G156" s="69"/>
      <c r="H156" s="69"/>
    </row>
    <row r="157" spans="2:8" x14ac:dyDescent="0.25">
      <c r="B157" s="70" t="s">
        <v>82</v>
      </c>
      <c r="C157" s="71"/>
      <c r="D157" s="71"/>
      <c r="E157" s="71"/>
      <c r="F157" s="71"/>
      <c r="G157" s="72"/>
    </row>
    <row r="158" spans="2:8" x14ac:dyDescent="0.25">
      <c r="B158" s="18" t="s">
        <v>83</v>
      </c>
      <c r="C158" s="19">
        <v>0</v>
      </c>
      <c r="D158" s="19">
        <f>D146+D150+D154</f>
        <v>2160</v>
      </c>
      <c r="E158" s="19">
        <f>+E150</f>
        <v>0</v>
      </c>
      <c r="F158" s="19">
        <f>F146+F154</f>
        <v>797</v>
      </c>
      <c r="G158" s="19">
        <f>SUM(C158:F158)</f>
        <v>2957</v>
      </c>
    </row>
    <row r="159" spans="2:8" x14ac:dyDescent="0.25">
      <c r="B159" s="18" t="s">
        <v>84</v>
      </c>
      <c r="C159" s="19">
        <v>0</v>
      </c>
      <c r="D159" s="19">
        <f>D147+D151+D155</f>
        <v>40.305005000000001</v>
      </c>
      <c r="E159" s="19">
        <v>0.14899999999999999</v>
      </c>
      <c r="F159" s="19">
        <f>F147+F155</f>
        <v>9.2535000000000007</v>
      </c>
      <c r="G159" s="22">
        <f>SUM(C159:F159)</f>
        <v>49.707505000000005</v>
      </c>
    </row>
    <row r="160" spans="2:8" x14ac:dyDescent="0.25">
      <c r="B160" s="69"/>
      <c r="C160" s="69"/>
      <c r="D160" s="69"/>
      <c r="E160" s="69"/>
      <c r="F160" s="69"/>
      <c r="G160" s="69"/>
      <c r="H160" s="69"/>
    </row>
    <row r="161" spans="2:8" x14ac:dyDescent="0.25">
      <c r="B161" s="68" t="s">
        <v>85</v>
      </c>
      <c r="C161" s="68"/>
      <c r="D161" s="68"/>
      <c r="E161" s="68"/>
      <c r="F161" s="68"/>
      <c r="G161" s="68"/>
    </row>
    <row r="162" spans="2:8" x14ac:dyDescent="0.25">
      <c r="B162" s="14" t="s">
        <v>80</v>
      </c>
      <c r="C162" s="28">
        <v>3234</v>
      </c>
      <c r="D162" s="28">
        <v>53100</v>
      </c>
      <c r="E162" s="28">
        <v>3428</v>
      </c>
      <c r="F162" s="28">
        <v>19780</v>
      </c>
      <c r="G162" s="28">
        <f>SUM(C162:F162)</f>
        <v>79542</v>
      </c>
    </row>
    <row r="163" spans="2:8" x14ac:dyDescent="0.25">
      <c r="B163" s="14" t="s">
        <v>81</v>
      </c>
      <c r="C163" s="28">
        <f>74743592/1000000</f>
        <v>74.743592000000007</v>
      </c>
      <c r="D163" s="28">
        <v>136.54221499999997</v>
      </c>
      <c r="E163" s="28">
        <f>53564506/1000000</f>
        <v>53.564506000000002</v>
      </c>
      <c r="F163" s="28">
        <v>127.82746400000001</v>
      </c>
      <c r="G163" s="11">
        <f>SUM(C163:F163)</f>
        <v>392.67777699999999</v>
      </c>
    </row>
    <row r="164" spans="2:8" x14ac:dyDescent="0.25">
      <c r="B164" s="69"/>
      <c r="C164" s="69"/>
      <c r="D164" s="69"/>
      <c r="E164" s="69"/>
      <c r="F164" s="69"/>
      <c r="G164" s="69"/>
    </row>
    <row r="165" spans="2:8" x14ac:dyDescent="0.25">
      <c r="B165" s="74" t="s">
        <v>86</v>
      </c>
      <c r="C165" s="75"/>
      <c r="D165" s="75"/>
      <c r="E165" s="75"/>
      <c r="F165" s="75"/>
      <c r="G165" s="76"/>
    </row>
    <row r="166" spans="2:8" x14ac:dyDescent="0.25">
      <c r="B166" s="70" t="s">
        <v>87</v>
      </c>
      <c r="C166" s="71"/>
      <c r="D166" s="71"/>
      <c r="E166" s="71"/>
      <c r="F166" s="71"/>
      <c r="G166" s="72"/>
    </row>
    <row r="167" spans="2:8" x14ac:dyDescent="0.25">
      <c r="B167" s="14" t="s">
        <v>88</v>
      </c>
      <c r="C167" s="28">
        <v>449</v>
      </c>
      <c r="D167" s="28">
        <v>5086</v>
      </c>
      <c r="E167" s="28">
        <v>687</v>
      </c>
      <c r="F167" s="28">
        <v>603</v>
      </c>
      <c r="G167" s="28">
        <f>SUM(C167:F167)</f>
        <v>6825</v>
      </c>
    </row>
    <row r="168" spans="2:8" x14ac:dyDescent="0.25">
      <c r="B168" s="14" t="s">
        <v>89</v>
      </c>
      <c r="C168" s="28">
        <f>11225000/1000000</f>
        <v>11.225</v>
      </c>
      <c r="D168" s="28">
        <v>108.38763300000001</v>
      </c>
      <c r="E168" s="28">
        <f>11235000/1000000</f>
        <v>11.234999999999999</v>
      </c>
      <c r="F168" s="28">
        <v>21.465</v>
      </c>
      <c r="G168" s="11">
        <f>SUM(C168:F168)</f>
        <v>152.31263300000001</v>
      </c>
    </row>
    <row r="169" spans="2:8" x14ac:dyDescent="0.25">
      <c r="B169" s="69"/>
      <c r="C169" s="69"/>
      <c r="D169" s="69"/>
      <c r="E169" s="69"/>
      <c r="F169" s="69"/>
      <c r="G169" s="69"/>
    </row>
    <row r="170" spans="2:8" x14ac:dyDescent="0.25">
      <c r="B170" s="70" t="s">
        <v>90</v>
      </c>
      <c r="C170" s="71"/>
      <c r="D170" s="71"/>
      <c r="E170" s="71"/>
      <c r="F170" s="71"/>
      <c r="G170" s="72"/>
    </row>
    <row r="171" spans="2:8" x14ac:dyDescent="0.25">
      <c r="B171" s="14" t="s">
        <v>91</v>
      </c>
      <c r="C171" s="28">
        <v>1482</v>
      </c>
      <c r="D171" s="28">
        <v>549</v>
      </c>
      <c r="E171" s="28">
        <v>138</v>
      </c>
      <c r="F171" s="28">
        <v>312</v>
      </c>
      <c r="G171" s="28">
        <f>SUM(C171:F171)</f>
        <v>2481</v>
      </c>
    </row>
    <row r="172" spans="2:8" x14ac:dyDescent="0.25">
      <c r="B172" s="14" t="s">
        <v>89</v>
      </c>
      <c r="C172" s="28">
        <f>32604000/1000000</f>
        <v>32.603999999999999</v>
      </c>
      <c r="D172" s="28">
        <v>11.529</v>
      </c>
      <c r="E172" s="28">
        <f>3450000/1000000</f>
        <v>3.45</v>
      </c>
      <c r="F172" s="28">
        <v>6.7679999999999998</v>
      </c>
      <c r="G172" s="11">
        <f>SUM(C172:F172)</f>
        <v>54.350999999999999</v>
      </c>
    </row>
    <row r="173" spans="2:8" x14ac:dyDescent="0.25">
      <c r="B173" s="69"/>
      <c r="C173" s="69"/>
      <c r="D173" s="69"/>
      <c r="E173" s="69"/>
      <c r="F173" s="69"/>
      <c r="G173" s="69"/>
      <c r="H173" s="69"/>
    </row>
    <row r="174" spans="2:8" x14ac:dyDescent="0.25">
      <c r="B174" s="70" t="s">
        <v>92</v>
      </c>
      <c r="C174" s="71"/>
      <c r="D174" s="71"/>
      <c r="E174" s="71"/>
      <c r="F174" s="71"/>
      <c r="G174" s="72"/>
    </row>
    <row r="175" spans="2:8" x14ac:dyDescent="0.25">
      <c r="B175" s="14" t="s">
        <v>91</v>
      </c>
      <c r="C175" s="28">
        <v>336</v>
      </c>
      <c r="D175" s="28">
        <v>246</v>
      </c>
      <c r="E175" s="28">
        <v>170</v>
      </c>
      <c r="F175" s="28">
        <v>38</v>
      </c>
      <c r="G175" s="28">
        <f>SUM(C175:F175)</f>
        <v>790</v>
      </c>
    </row>
    <row r="176" spans="2:8" x14ac:dyDescent="0.25">
      <c r="B176" s="14" t="s">
        <v>89</v>
      </c>
      <c r="C176" s="28">
        <f>23520000/1000000</f>
        <v>23.52</v>
      </c>
      <c r="D176" s="28">
        <v>25.68</v>
      </c>
      <c r="E176" s="28">
        <f>9405145/1000000</f>
        <v>9.4051449999999992</v>
      </c>
      <c r="F176" s="28">
        <v>3.8</v>
      </c>
      <c r="G176" s="11">
        <f>SUM(C176:F176)</f>
        <v>62.405144999999997</v>
      </c>
    </row>
    <row r="177" spans="2:8" x14ac:dyDescent="0.25">
      <c r="B177" s="69"/>
      <c r="C177" s="69"/>
      <c r="D177" s="69"/>
      <c r="E177" s="69"/>
      <c r="F177" s="69"/>
      <c r="G177" s="69"/>
      <c r="H177" s="69"/>
    </row>
    <row r="178" spans="2:8" x14ac:dyDescent="0.25">
      <c r="B178" s="70" t="s">
        <v>93</v>
      </c>
      <c r="C178" s="71"/>
      <c r="D178" s="71"/>
      <c r="E178" s="71"/>
      <c r="F178" s="71"/>
      <c r="G178" s="72"/>
    </row>
    <row r="179" spans="2:8" x14ac:dyDescent="0.25">
      <c r="B179" s="14" t="s">
        <v>91</v>
      </c>
      <c r="C179" s="28">
        <v>387</v>
      </c>
      <c r="D179" s="28">
        <v>179417</v>
      </c>
      <c r="E179" s="28">
        <v>0</v>
      </c>
      <c r="F179" s="28">
        <v>0</v>
      </c>
      <c r="G179" s="28">
        <f>SUM(C179:F179)</f>
        <v>179804</v>
      </c>
    </row>
    <row r="180" spans="2:8" x14ac:dyDescent="0.25">
      <c r="B180" s="14" t="s">
        <v>89</v>
      </c>
      <c r="C180" s="28">
        <f>11840000/1000000</f>
        <v>11.84</v>
      </c>
      <c r="D180" s="28">
        <v>3094.3601547286503</v>
      </c>
      <c r="E180" s="28">
        <v>0</v>
      </c>
      <c r="F180" s="28">
        <v>0</v>
      </c>
      <c r="G180" s="11">
        <f>SUM(C180:F180)</f>
        <v>3106.2001547286504</v>
      </c>
    </row>
    <row r="181" spans="2:8" x14ac:dyDescent="0.25">
      <c r="B181" s="69"/>
      <c r="C181" s="69"/>
      <c r="D181" s="69"/>
      <c r="E181" s="69"/>
      <c r="F181" s="69"/>
      <c r="G181" s="69"/>
      <c r="H181" s="69"/>
    </row>
    <row r="182" spans="2:8" x14ac:dyDescent="0.25">
      <c r="B182" s="68" t="s">
        <v>94</v>
      </c>
      <c r="C182" s="68"/>
      <c r="D182" s="68"/>
      <c r="E182" s="68"/>
      <c r="F182" s="68"/>
      <c r="G182" s="68"/>
    </row>
    <row r="183" spans="2:8" x14ac:dyDescent="0.25">
      <c r="B183" s="18" t="s">
        <v>95</v>
      </c>
      <c r="C183" s="19">
        <f>+C179+C175+C171+C167</f>
        <v>2654</v>
      </c>
      <c r="D183" s="19">
        <f>D167+D171+D175+D179</f>
        <v>185298</v>
      </c>
      <c r="E183" s="19">
        <f t="shared" ref="E183:E184" si="4">+E179+E175+E171+E167</f>
        <v>995</v>
      </c>
      <c r="F183" s="19">
        <f>+F179+F175+F171+F167</f>
        <v>953</v>
      </c>
      <c r="G183" s="19">
        <f>SUM(C183:F183)</f>
        <v>189900</v>
      </c>
    </row>
    <row r="184" spans="2:8" x14ac:dyDescent="0.25">
      <c r="B184" s="18" t="s">
        <v>96</v>
      </c>
      <c r="C184" s="19">
        <f>+C180+C176+C172+C168</f>
        <v>79.188999999999993</v>
      </c>
      <c r="D184" s="19">
        <f>D168+D172+D176+D180</f>
        <v>3239.9567877286504</v>
      </c>
      <c r="E184" s="19">
        <f t="shared" si="4"/>
        <v>24.090145</v>
      </c>
      <c r="F184" s="19">
        <f>+F180+F176+F172+F168</f>
        <v>32.033000000000001</v>
      </c>
      <c r="G184" s="22">
        <f>SUM(C184:F184)</f>
        <v>3375.2689327286503</v>
      </c>
    </row>
    <row r="185" spans="2:8" x14ac:dyDescent="0.25">
      <c r="B185" s="69"/>
      <c r="C185" s="69"/>
      <c r="D185" s="69"/>
      <c r="E185" s="69"/>
      <c r="F185" s="69"/>
      <c r="G185" s="69"/>
      <c r="H185" s="69"/>
    </row>
    <row r="186" spans="2:8" x14ac:dyDescent="0.25">
      <c r="B186" s="68" t="s">
        <v>97</v>
      </c>
      <c r="C186" s="68"/>
      <c r="D186" s="68"/>
      <c r="E186" s="68"/>
      <c r="F186" s="68"/>
      <c r="G186" s="68"/>
    </row>
    <row r="187" spans="2:8" x14ac:dyDescent="0.25">
      <c r="B187" s="14" t="s">
        <v>98</v>
      </c>
      <c r="C187" s="28">
        <v>3808</v>
      </c>
      <c r="D187" s="28">
        <v>4319</v>
      </c>
      <c r="E187" s="28">
        <v>81</v>
      </c>
      <c r="F187" s="28">
        <v>21530</v>
      </c>
      <c r="G187" s="28">
        <f>SUM(C187:F187)</f>
        <v>29738</v>
      </c>
    </row>
    <row r="188" spans="2:8" x14ac:dyDescent="0.25">
      <c r="B188" s="14" t="s">
        <v>99</v>
      </c>
      <c r="C188" s="28">
        <f>29827292/1000000</f>
        <v>29.827292</v>
      </c>
      <c r="D188" s="28">
        <v>219.99838500000001</v>
      </c>
      <c r="E188" s="28">
        <f>3250000/1000000</f>
        <v>3.25</v>
      </c>
      <c r="F188" s="28">
        <v>169.11396400000001</v>
      </c>
      <c r="G188" s="11">
        <f>SUM(C188:F188)</f>
        <v>422.18964100000005</v>
      </c>
    </row>
    <row r="189" spans="2:8" x14ac:dyDescent="0.25">
      <c r="B189" s="69"/>
      <c r="C189" s="69"/>
      <c r="D189" s="69"/>
      <c r="E189" s="69"/>
      <c r="F189" s="69"/>
      <c r="G189" s="69"/>
      <c r="H189" s="69"/>
    </row>
    <row r="190" spans="2:8" x14ac:dyDescent="0.25">
      <c r="B190" s="68" t="s">
        <v>100</v>
      </c>
      <c r="C190" s="68"/>
      <c r="D190" s="68"/>
      <c r="E190" s="68"/>
      <c r="F190" s="68"/>
      <c r="G190" s="68"/>
    </row>
    <row r="191" spans="2:8" x14ac:dyDescent="0.25">
      <c r="B191" s="18" t="s">
        <v>101</v>
      </c>
      <c r="C191" s="19">
        <f>C187+C162+C183</f>
        <v>9696</v>
      </c>
      <c r="D191" s="19">
        <f>+D187+D183+D162+D158</f>
        <v>244877</v>
      </c>
      <c r="E191" s="19">
        <v>4504</v>
      </c>
      <c r="F191" s="19">
        <f>F158+F162+F183+F187</f>
        <v>43060</v>
      </c>
      <c r="G191" s="19">
        <f>SUM(C191:F191)</f>
        <v>302137</v>
      </c>
    </row>
    <row r="192" spans="2:8" x14ac:dyDescent="0.25">
      <c r="B192" s="18" t="s">
        <v>102</v>
      </c>
      <c r="C192" s="19">
        <f>C188+C163+C184</f>
        <v>183.759884</v>
      </c>
      <c r="D192" s="19">
        <f>+D188+D184+D163+D159</f>
        <v>3636.8023927286504</v>
      </c>
      <c r="E192" s="19">
        <v>80.904651000000001</v>
      </c>
      <c r="F192" s="19">
        <f>F159+F184+F163+F188</f>
        <v>338.22792800000002</v>
      </c>
      <c r="G192" s="22">
        <f>SUM(C192:F192)</f>
        <v>4239.6948557286505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G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195"/>
  <sheetViews>
    <sheetView topLeftCell="B114" zoomScaleNormal="100" workbookViewId="0">
      <selection activeCell="C6" sqref="C6"/>
    </sheetView>
  </sheetViews>
  <sheetFormatPr baseColWidth="10" defaultColWidth="9.140625" defaultRowHeight="15" x14ac:dyDescent="0.25"/>
  <cols>
    <col min="1" max="1" width="11.42578125" style="1" customWidth="1"/>
    <col min="2" max="2" width="54.7109375" customWidth="1"/>
    <col min="3" max="3" width="18.7109375" bestFit="1" customWidth="1"/>
    <col min="4" max="4" width="17.5703125" customWidth="1"/>
    <col min="5" max="5" width="17.140625" bestFit="1" customWidth="1"/>
    <col min="6" max="6" width="18.28515625" customWidth="1"/>
    <col min="7" max="7" width="17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7" t="s">
        <v>1</v>
      </c>
      <c r="D2" s="88"/>
      <c r="E2" s="88"/>
      <c r="F2" s="88"/>
      <c r="G2" s="89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8" t="s">
        <v>7</v>
      </c>
      <c r="C4" s="79"/>
      <c r="D4" s="79"/>
      <c r="E4" s="79"/>
      <c r="F4" s="79"/>
      <c r="G4" s="80"/>
    </row>
    <row r="5" spans="1:7" x14ac:dyDescent="0.25">
      <c r="B5" s="74" t="s">
        <v>103</v>
      </c>
      <c r="C5" s="75"/>
      <c r="D5" s="75"/>
      <c r="E5" s="75"/>
      <c r="F5" s="75"/>
      <c r="G5" s="76"/>
    </row>
    <row r="6" spans="1:7" x14ac:dyDescent="0.25">
      <c r="B6" s="4" t="s">
        <v>104</v>
      </c>
      <c r="C6" s="12">
        <v>54982</v>
      </c>
      <c r="D6" s="12">
        <v>8209</v>
      </c>
      <c r="E6" s="12">
        <v>9320</v>
      </c>
      <c r="F6" s="12">
        <v>10485</v>
      </c>
      <c r="G6" s="12">
        <f>+F6+E6+D6+C6</f>
        <v>82996</v>
      </c>
    </row>
    <row r="7" spans="1:7" x14ac:dyDescent="0.25">
      <c r="B7" s="14" t="s">
        <v>105</v>
      </c>
      <c r="C7" s="12">
        <v>524</v>
      </c>
      <c r="D7" s="12">
        <v>229</v>
      </c>
      <c r="E7" s="12">
        <v>12</v>
      </c>
      <c r="F7" s="12">
        <v>135</v>
      </c>
      <c r="G7" s="12">
        <f>+F7+E7+D7+C7</f>
        <v>900</v>
      </c>
    </row>
    <row r="8" spans="1:7" x14ac:dyDescent="0.25">
      <c r="B8" s="18" t="s">
        <v>106</v>
      </c>
      <c r="C8" s="25">
        <v>55506</v>
      </c>
      <c r="D8" s="25">
        <f>+D6+D7</f>
        <v>8438</v>
      </c>
      <c r="E8" s="25">
        <f>SUM(E6:E7)</f>
        <v>9332</v>
      </c>
      <c r="F8" s="25">
        <v>10620</v>
      </c>
      <c r="G8" s="25">
        <f>+F8+E8+D8+C8</f>
        <v>83896</v>
      </c>
    </row>
    <row r="9" spans="1:7" x14ac:dyDescent="0.25">
      <c r="B9" s="69"/>
      <c r="C9" s="69"/>
      <c r="D9" s="69"/>
      <c r="E9" s="69"/>
      <c r="F9" s="69"/>
      <c r="G9" s="69"/>
    </row>
    <row r="10" spans="1:7" x14ac:dyDescent="0.25">
      <c r="B10" s="74" t="s">
        <v>8</v>
      </c>
      <c r="C10" s="75"/>
      <c r="D10" s="75"/>
      <c r="E10" s="75"/>
      <c r="F10" s="75"/>
      <c r="G10" s="76"/>
    </row>
    <row r="11" spans="1:7" x14ac:dyDescent="0.25">
      <c r="B11" s="70" t="s">
        <v>9</v>
      </c>
      <c r="C11" s="71"/>
      <c r="D11" s="71"/>
      <c r="E11" s="71"/>
      <c r="F11" s="71"/>
      <c r="G11" s="72"/>
    </row>
    <row r="12" spans="1:7" x14ac:dyDescent="0.25">
      <c r="B12" s="16" t="s">
        <v>10</v>
      </c>
      <c r="C12" s="37">
        <v>936141</v>
      </c>
      <c r="D12" s="28">
        <v>144761</v>
      </c>
      <c r="E12" s="40">
        <v>57614</v>
      </c>
      <c r="F12" s="17">
        <v>0</v>
      </c>
      <c r="G12" s="17">
        <f>SUM(C12:F12)</f>
        <v>1138516</v>
      </c>
    </row>
    <row r="13" spans="1:7" x14ac:dyDescent="0.25">
      <c r="B13" s="16" t="s">
        <v>11</v>
      </c>
      <c r="C13" s="37">
        <v>2361020</v>
      </c>
      <c r="D13" s="28">
        <v>543401</v>
      </c>
      <c r="E13" s="40">
        <v>234175</v>
      </c>
      <c r="F13" s="17">
        <v>0</v>
      </c>
      <c r="G13" s="17">
        <f>SUM(C13:F13)</f>
        <v>3138596</v>
      </c>
    </row>
    <row r="14" spans="1:7" x14ac:dyDescent="0.25">
      <c r="B14" s="18" t="s">
        <v>12</v>
      </c>
      <c r="C14" s="19">
        <v>3297161</v>
      </c>
      <c r="D14" s="19">
        <v>969484</v>
      </c>
      <c r="E14" s="19">
        <f>SUM(E12:E13)</f>
        <v>291789</v>
      </c>
      <c r="F14" s="19">
        <v>365665</v>
      </c>
      <c r="G14" s="19">
        <f>SUM(C14:F14)</f>
        <v>4924099</v>
      </c>
    </row>
    <row r="15" spans="1:7" x14ac:dyDescent="0.25">
      <c r="B15" s="18" t="s">
        <v>13</v>
      </c>
      <c r="C15" s="19">
        <v>436824</v>
      </c>
      <c r="D15" s="19">
        <v>147829</v>
      </c>
      <c r="E15" s="19">
        <v>2866</v>
      </c>
      <c r="F15" s="19">
        <v>91636</v>
      </c>
      <c r="G15" s="19">
        <f>SUM(C15:F15)</f>
        <v>679155</v>
      </c>
    </row>
    <row r="16" spans="1:7" x14ac:dyDescent="0.25">
      <c r="B16" s="18" t="s">
        <v>14</v>
      </c>
      <c r="C16" s="19">
        <v>3733985</v>
      </c>
      <c r="D16" s="19">
        <v>1117313</v>
      </c>
      <c r="E16" s="19">
        <f>SUM(E14:E15)</f>
        <v>294655</v>
      </c>
      <c r="F16" s="19">
        <v>457301</v>
      </c>
      <c r="G16" s="19">
        <f>SUM(C16:F16)</f>
        <v>5603254</v>
      </c>
    </row>
    <row r="17" spans="2:8" x14ac:dyDescent="0.25">
      <c r="B17" s="69"/>
      <c r="C17" s="69"/>
      <c r="D17" s="69"/>
      <c r="E17" s="69"/>
      <c r="F17" s="69"/>
      <c r="G17" s="69"/>
    </row>
    <row r="18" spans="2:8" x14ac:dyDescent="0.25">
      <c r="B18" s="70" t="s">
        <v>15</v>
      </c>
      <c r="C18" s="71"/>
      <c r="D18" s="71"/>
      <c r="E18" s="71"/>
      <c r="F18" s="71"/>
      <c r="G18" s="72"/>
    </row>
    <row r="19" spans="2:8" x14ac:dyDescent="0.25">
      <c r="B19" s="14" t="s">
        <v>16</v>
      </c>
      <c r="C19" s="28">
        <v>3588</v>
      </c>
      <c r="D19" s="28">
        <v>4</v>
      </c>
      <c r="E19" s="20">
        <v>0</v>
      </c>
      <c r="F19" s="20">
        <v>0</v>
      </c>
      <c r="G19" s="20">
        <f>SUM(C19:F19)</f>
        <v>3592</v>
      </c>
    </row>
    <row r="20" spans="2:8" x14ac:dyDescent="0.25">
      <c r="B20" s="90"/>
      <c r="C20" s="90"/>
      <c r="D20" s="90"/>
      <c r="E20" s="90"/>
      <c r="F20" s="90"/>
      <c r="G20" s="90"/>
    </row>
    <row r="21" spans="2:8" x14ac:dyDescent="0.25">
      <c r="B21" s="18" t="s">
        <v>17</v>
      </c>
      <c r="C21" s="19">
        <v>3737573</v>
      </c>
      <c r="D21" s="19">
        <v>1117317</v>
      </c>
      <c r="E21" s="19">
        <f>+E19+E16</f>
        <v>294655</v>
      </c>
      <c r="F21" s="19">
        <f>F16</f>
        <v>457301</v>
      </c>
      <c r="G21" s="19">
        <f>SUM(C21:F21)</f>
        <v>5606846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18</v>
      </c>
      <c r="C23" s="9"/>
      <c r="D23" s="9"/>
      <c r="E23" s="9"/>
      <c r="F23" s="9"/>
      <c r="G23" s="10"/>
    </row>
    <row r="24" spans="2:8" x14ac:dyDescent="0.25">
      <c r="B24" s="18" t="s">
        <v>19</v>
      </c>
      <c r="C24" s="19">
        <v>398402</v>
      </c>
      <c r="D24" s="19">
        <v>206120</v>
      </c>
      <c r="E24" s="19">
        <v>131615</v>
      </c>
      <c r="F24" s="19">
        <v>668578</v>
      </c>
      <c r="G24" s="19">
        <f>SUM(C24:F24)</f>
        <v>1404715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20</v>
      </c>
      <c r="C26" s="9"/>
      <c r="D26" s="9"/>
      <c r="E26" s="9"/>
      <c r="F26" s="9"/>
      <c r="G26" s="10"/>
    </row>
    <row r="27" spans="2:8" x14ac:dyDescent="0.25">
      <c r="B27" s="18" t="s">
        <v>21</v>
      </c>
      <c r="C27" s="19">
        <f>+C24+C21</f>
        <v>4135975</v>
      </c>
      <c r="D27" s="19">
        <f>+D24+D21</f>
        <v>1323437</v>
      </c>
      <c r="E27" s="19">
        <f>+E21+E24</f>
        <v>426270</v>
      </c>
      <c r="F27" s="19">
        <f>+F24+F21</f>
        <v>1125879</v>
      </c>
      <c r="G27" s="19">
        <f>SUM(C27:F27)</f>
        <v>7011561</v>
      </c>
    </row>
    <row r="28" spans="2:8" x14ac:dyDescent="0.25">
      <c r="B28" s="69"/>
      <c r="C28" s="69"/>
      <c r="D28" s="69"/>
      <c r="E28" s="69"/>
      <c r="F28" s="69"/>
      <c r="G28" s="69"/>
      <c r="H28" s="69"/>
    </row>
    <row r="29" spans="2:8" x14ac:dyDescent="0.25">
      <c r="B29" s="74" t="s">
        <v>22</v>
      </c>
      <c r="C29" s="75"/>
      <c r="D29" s="75"/>
      <c r="E29" s="75"/>
      <c r="F29" s="75"/>
      <c r="G29" s="76"/>
    </row>
    <row r="30" spans="2:8" x14ac:dyDescent="0.25">
      <c r="B30" s="14" t="s">
        <v>23</v>
      </c>
      <c r="C30" s="28">
        <v>1277736</v>
      </c>
      <c r="D30" s="28">
        <v>218482</v>
      </c>
      <c r="E30" s="28">
        <v>90193</v>
      </c>
      <c r="F30" s="28">
        <v>192654</v>
      </c>
      <c r="G30" s="28">
        <f>SUM(C30:F30)</f>
        <v>1779065</v>
      </c>
    </row>
    <row r="31" spans="2:8" x14ac:dyDescent="0.25">
      <c r="B31" s="69"/>
      <c r="C31" s="69"/>
      <c r="D31" s="69"/>
      <c r="E31" s="69"/>
      <c r="F31" s="69"/>
      <c r="G31" s="69"/>
      <c r="H31" s="69"/>
    </row>
    <row r="32" spans="2:8" x14ac:dyDescent="0.25">
      <c r="B32" s="74" t="s">
        <v>107</v>
      </c>
      <c r="C32" s="75"/>
      <c r="D32" s="75"/>
      <c r="E32" s="75"/>
      <c r="F32" s="75"/>
      <c r="G32" s="76"/>
    </row>
    <row r="33" spans="2:9" x14ac:dyDescent="0.25">
      <c r="B33" s="14" t="s">
        <v>25</v>
      </c>
      <c r="C33" s="28">
        <v>3180211037265</v>
      </c>
      <c r="D33" s="28">
        <v>599414839535</v>
      </c>
      <c r="E33" s="28">
        <v>227239097109</v>
      </c>
      <c r="F33" s="28">
        <v>298597308148</v>
      </c>
      <c r="G33" s="28">
        <f>SUM(C33:F33)</f>
        <v>4305462282057</v>
      </c>
    </row>
    <row r="34" spans="2:9" x14ac:dyDescent="0.25">
      <c r="B34" s="14" t="s">
        <v>26</v>
      </c>
      <c r="C34" s="28">
        <v>129725251608</v>
      </c>
      <c r="D34" s="28">
        <v>58073674883</v>
      </c>
      <c r="E34" s="28">
        <v>32514886400</v>
      </c>
      <c r="F34" s="28">
        <v>122371317985</v>
      </c>
      <c r="G34" s="28">
        <f>SUM(C34:F34)</f>
        <v>342685130876</v>
      </c>
    </row>
    <row r="35" spans="2:9" x14ac:dyDescent="0.25">
      <c r="B35" s="46" t="s">
        <v>27</v>
      </c>
      <c r="C35" s="47">
        <f>SUM(C33:C34)</f>
        <v>3309936288873</v>
      </c>
      <c r="D35" s="47">
        <f>+D34+D33</f>
        <v>657488514418</v>
      </c>
      <c r="E35" s="47">
        <f>+E33+E34</f>
        <v>259753983509</v>
      </c>
      <c r="F35" s="47">
        <v>420968626133</v>
      </c>
      <c r="G35" s="47">
        <f>SUM(C35:F35)</f>
        <v>4648147412933</v>
      </c>
    </row>
    <row r="36" spans="2:9" x14ac:dyDescent="0.25">
      <c r="B36" s="85" t="s">
        <v>108</v>
      </c>
      <c r="C36" s="85"/>
      <c r="D36" s="85"/>
      <c r="E36" s="85"/>
      <c r="F36" s="85"/>
      <c r="G36" s="85"/>
      <c r="H36"/>
    </row>
    <row r="37" spans="2:9" x14ac:dyDescent="0.25">
      <c r="B37" s="45"/>
      <c r="C37" s="45"/>
      <c r="D37" s="45"/>
      <c r="E37" s="45"/>
      <c r="F37" s="45"/>
      <c r="G37" s="45"/>
      <c r="H37" s="45"/>
    </row>
    <row r="38" spans="2:9" ht="21" x14ac:dyDescent="0.35">
      <c r="B38" s="78" t="s">
        <v>28</v>
      </c>
      <c r="C38" s="79"/>
      <c r="D38" s="79"/>
      <c r="E38" s="79"/>
      <c r="F38" s="79"/>
      <c r="G38" s="80"/>
    </row>
    <row r="39" spans="2:9" x14ac:dyDescent="0.25">
      <c r="B39" s="74" t="s">
        <v>29</v>
      </c>
      <c r="C39" s="75"/>
      <c r="D39" s="75"/>
      <c r="E39" s="75"/>
      <c r="F39" s="75"/>
      <c r="G39" s="76"/>
    </row>
    <row r="40" spans="2:9" x14ac:dyDescent="0.25">
      <c r="B40" s="14" t="s">
        <v>30</v>
      </c>
      <c r="C40" s="28">
        <v>664274</v>
      </c>
      <c r="D40" s="28">
        <v>80240</v>
      </c>
      <c r="E40" s="28">
        <v>49433</v>
      </c>
      <c r="F40" s="28">
        <v>54292</v>
      </c>
      <c r="G40" s="28">
        <f>SUM(C40:F40)</f>
        <v>848239</v>
      </c>
      <c r="H40" s="7"/>
      <c r="I40" s="7"/>
    </row>
    <row r="41" spans="2:9" x14ac:dyDescent="0.25">
      <c r="B41" s="14" t="s">
        <v>31</v>
      </c>
      <c r="C41" s="28">
        <f>2021029488/1000000</f>
        <v>2021.0294879999999</v>
      </c>
      <c r="D41" s="28">
        <v>708.64646800000003</v>
      </c>
      <c r="E41" s="28">
        <v>316</v>
      </c>
      <c r="F41" s="12">
        <v>332.07623699999999</v>
      </c>
      <c r="G41" s="11">
        <f>SUM(C41:F41)</f>
        <v>3377.7521930000003</v>
      </c>
      <c r="H41" s="7"/>
      <c r="I41" s="7"/>
    </row>
    <row r="42" spans="2:9" x14ac:dyDescent="0.25">
      <c r="B42" s="69"/>
      <c r="C42" s="69"/>
      <c r="D42" s="69"/>
      <c r="E42" s="69"/>
      <c r="F42" s="69"/>
      <c r="G42" s="69"/>
      <c r="H42" s="69"/>
      <c r="I42" s="7"/>
    </row>
    <row r="43" spans="2:9" x14ac:dyDescent="0.25">
      <c r="B43" s="68" t="s">
        <v>109</v>
      </c>
      <c r="C43" s="68"/>
      <c r="D43" s="68"/>
      <c r="E43" s="68"/>
      <c r="F43" s="68"/>
      <c r="G43" s="68"/>
      <c r="I43" s="7"/>
    </row>
    <row r="44" spans="2:9" x14ac:dyDescent="0.25">
      <c r="B44" s="14" t="s">
        <v>111</v>
      </c>
      <c r="C44" s="28">
        <v>5</v>
      </c>
      <c r="D44" s="28">
        <v>8</v>
      </c>
      <c r="E44" s="28">
        <v>1</v>
      </c>
      <c r="F44" s="28">
        <v>0</v>
      </c>
      <c r="G44" s="28">
        <f>SUM(C44:F44)</f>
        <v>14</v>
      </c>
      <c r="H44" s="7"/>
      <c r="I44" s="7"/>
    </row>
    <row r="45" spans="2:9" x14ac:dyDescent="0.25">
      <c r="B45" s="14" t="s">
        <v>112</v>
      </c>
      <c r="C45" s="28">
        <f>4687813/1000000</f>
        <v>4.6878130000000002</v>
      </c>
      <c r="D45" s="28">
        <v>8.7652999999999995E-2</v>
      </c>
      <c r="E45" s="28">
        <v>0.1</v>
      </c>
      <c r="F45" s="28">
        <v>0</v>
      </c>
      <c r="G45" s="11">
        <f>SUM(C45:F45)</f>
        <v>4.8754660000000003</v>
      </c>
      <c r="H45" s="7"/>
      <c r="I45" s="7"/>
    </row>
    <row r="46" spans="2:9" x14ac:dyDescent="0.25">
      <c r="B46" s="69"/>
      <c r="C46" s="69"/>
      <c r="D46" s="69"/>
      <c r="E46" s="69"/>
      <c r="F46" s="69"/>
      <c r="G46" s="69"/>
      <c r="H46" s="69"/>
      <c r="I46" s="7"/>
    </row>
    <row r="47" spans="2:9" x14ac:dyDescent="0.25">
      <c r="B47" s="68" t="s">
        <v>110</v>
      </c>
      <c r="C47" s="68"/>
      <c r="D47" s="68"/>
      <c r="E47" s="68"/>
      <c r="F47" s="68"/>
      <c r="G47" s="68"/>
      <c r="I47" s="7"/>
    </row>
    <row r="48" spans="2:9" x14ac:dyDescent="0.25">
      <c r="B48" s="14" t="s">
        <v>113</v>
      </c>
      <c r="C48" s="28">
        <v>137763</v>
      </c>
      <c r="D48" s="28">
        <v>87046</v>
      </c>
      <c r="E48" s="28">
        <v>13682</v>
      </c>
      <c r="F48" s="28">
        <v>65296</v>
      </c>
      <c r="G48" s="28">
        <f>SUM(C48:F48)</f>
        <v>303787</v>
      </c>
      <c r="H48" s="7"/>
      <c r="I48" s="7"/>
    </row>
    <row r="49" spans="2:9" x14ac:dyDescent="0.25">
      <c r="B49" s="14" t="s">
        <v>114</v>
      </c>
      <c r="C49" s="28">
        <f>( 61842145401
+ 916707626)/1000000</f>
        <v>62758.853026999997</v>
      </c>
      <c r="D49" s="28">
        <v>24475.564191000001</v>
      </c>
      <c r="E49" s="28">
        <v>8140.1230779999996</v>
      </c>
      <c r="F49" s="12">
        <v>8309.7722890000005</v>
      </c>
      <c r="G49" s="11">
        <f>SUM(C49:F49)</f>
        <v>103684.31258500001</v>
      </c>
      <c r="H49" s="7"/>
      <c r="I49" s="7"/>
    </row>
    <row r="50" spans="2:9" x14ac:dyDescent="0.25">
      <c r="B50" s="69"/>
      <c r="C50" s="69"/>
      <c r="D50" s="69"/>
      <c r="E50" s="69"/>
      <c r="F50" s="69"/>
      <c r="G50" s="69"/>
      <c r="H50" s="69"/>
    </row>
    <row r="51" spans="2:9" ht="21" x14ac:dyDescent="0.35">
      <c r="B51" s="78" t="s">
        <v>38</v>
      </c>
      <c r="C51" s="79"/>
      <c r="D51" s="79"/>
      <c r="E51" s="79"/>
      <c r="F51" s="79"/>
      <c r="G51" s="80"/>
    </row>
    <row r="52" spans="2:9" x14ac:dyDescent="0.25">
      <c r="B52" s="86"/>
      <c r="C52" s="86"/>
      <c r="D52" s="86"/>
      <c r="E52" s="86"/>
      <c r="F52" s="86"/>
      <c r="G52" s="86"/>
      <c r="H52" s="86"/>
    </row>
    <row r="53" spans="2:9" x14ac:dyDescent="0.25">
      <c r="B53" s="68" t="s">
        <v>39</v>
      </c>
      <c r="C53" s="68"/>
      <c r="D53" s="68"/>
      <c r="E53" s="68"/>
      <c r="F53" s="68"/>
      <c r="G53" s="68"/>
    </row>
    <row r="54" spans="2:9" x14ac:dyDescent="0.25">
      <c r="B54" s="73" t="s">
        <v>40</v>
      </c>
      <c r="C54" s="73"/>
      <c r="D54" s="73"/>
      <c r="E54" s="73"/>
      <c r="F54" s="73"/>
      <c r="G54" s="73"/>
    </row>
    <row r="55" spans="2:9" x14ac:dyDescent="0.25">
      <c r="B55" s="14" t="s">
        <v>41</v>
      </c>
      <c r="C55" s="28">
        <v>61569</v>
      </c>
      <c r="D55" s="28">
        <v>3803</v>
      </c>
      <c r="E55" s="28">
        <v>1568</v>
      </c>
      <c r="F55" s="28">
        <v>2969</v>
      </c>
      <c r="G55" s="28">
        <f t="shared" ref="G55:G71" si="0">SUM(C55:F55)</f>
        <v>69909</v>
      </c>
    </row>
    <row r="56" spans="2:9" x14ac:dyDescent="0.25">
      <c r="B56" s="14" t="s">
        <v>42</v>
      </c>
      <c r="C56" s="28">
        <v>63667.340127000003</v>
      </c>
      <c r="D56" s="28">
        <v>5939.0137800000002</v>
      </c>
      <c r="E56" s="28">
        <v>2521.4141989999998</v>
      </c>
      <c r="F56" s="28">
        <v>6911</v>
      </c>
      <c r="G56" s="28">
        <f t="shared" si="0"/>
        <v>79038.768106000003</v>
      </c>
    </row>
    <row r="57" spans="2:9" x14ac:dyDescent="0.25">
      <c r="B57" s="14" t="s">
        <v>43</v>
      </c>
      <c r="C57" s="28">
        <v>17.935178417710201</v>
      </c>
      <c r="D57" s="28">
        <v>41.880003809137683</v>
      </c>
      <c r="E57" s="28">
        <v>27</v>
      </c>
      <c r="F57" s="28">
        <v>33</v>
      </c>
      <c r="G57" s="28">
        <f>AVERAGE(C57:F57)</f>
        <v>29.95379555671197</v>
      </c>
    </row>
    <row r="58" spans="2:9" x14ac:dyDescent="0.25">
      <c r="B58" s="14" t="s">
        <v>44</v>
      </c>
      <c r="C58" s="28">
        <v>741452</v>
      </c>
      <c r="D58" s="28">
        <v>144116</v>
      </c>
      <c r="E58" s="28">
        <v>47740</v>
      </c>
      <c r="F58" s="28">
        <v>62631</v>
      </c>
      <c r="G58" s="28">
        <f t="shared" si="0"/>
        <v>995939</v>
      </c>
    </row>
    <row r="59" spans="2:9" x14ac:dyDescent="0.25">
      <c r="B59" s="14" t="s">
        <v>115</v>
      </c>
      <c r="C59" s="28">
        <v>1515778.6257760001</v>
      </c>
      <c r="D59" s="28">
        <v>283868.28094999999</v>
      </c>
      <c r="E59" s="28">
        <v>98575.586855999994</v>
      </c>
      <c r="F59" s="28">
        <v>122805</v>
      </c>
      <c r="G59" s="11">
        <f t="shared" si="0"/>
        <v>2021027.493582</v>
      </c>
    </row>
    <row r="60" spans="2:9" x14ac:dyDescent="0.25">
      <c r="B60" s="73" t="s">
        <v>45</v>
      </c>
      <c r="C60" s="73"/>
      <c r="D60" s="73"/>
      <c r="E60" s="73"/>
      <c r="F60" s="73"/>
      <c r="G60" s="73"/>
    </row>
    <row r="61" spans="2:9" x14ac:dyDescent="0.25">
      <c r="B61" s="14" t="s">
        <v>41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42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43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44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115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3" t="s">
        <v>46</v>
      </c>
      <c r="C66" s="73"/>
      <c r="D66" s="73"/>
      <c r="E66" s="73"/>
      <c r="F66" s="73"/>
      <c r="G66" s="73"/>
    </row>
    <row r="67" spans="2:8" x14ac:dyDescent="0.25">
      <c r="B67" s="14" t="s">
        <v>41</v>
      </c>
      <c r="C67" s="29">
        <v>4852</v>
      </c>
      <c r="D67" s="29">
        <v>1235</v>
      </c>
      <c r="E67" s="29">
        <v>745</v>
      </c>
      <c r="F67" s="29">
        <v>9302</v>
      </c>
      <c r="G67" s="28">
        <f t="shared" si="0"/>
        <v>16134</v>
      </c>
    </row>
    <row r="68" spans="2:8" x14ac:dyDescent="0.25">
      <c r="B68" s="14" t="s">
        <v>42</v>
      </c>
      <c r="C68" s="29">
        <v>3851.4745029999999</v>
      </c>
      <c r="D68" s="29">
        <v>1221.810471</v>
      </c>
      <c r="E68" s="29">
        <v>678.75827500000003</v>
      </c>
      <c r="F68" s="29">
        <v>10079</v>
      </c>
      <c r="G68" s="28">
        <f t="shared" si="0"/>
        <v>15831.043249</v>
      </c>
    </row>
    <row r="69" spans="2:8" x14ac:dyDescent="0.25">
      <c r="B69" s="14" t="s">
        <v>43</v>
      </c>
      <c r="C69" s="29">
        <v>40.791014014839199</v>
      </c>
      <c r="D69" s="29">
        <v>55.676362632579611</v>
      </c>
      <c r="E69" s="29">
        <v>51</v>
      </c>
      <c r="F69" s="29">
        <v>42</v>
      </c>
      <c r="G69" s="28">
        <f>AVERAGE(C69:F69)</f>
        <v>47.366844161854701</v>
      </c>
    </row>
    <row r="70" spans="2:8" x14ac:dyDescent="0.25">
      <c r="B70" s="14" t="s">
        <v>44</v>
      </c>
      <c r="C70" s="29">
        <v>102316</v>
      </c>
      <c r="D70" s="29">
        <v>82062</v>
      </c>
      <c r="E70" s="29">
        <v>53712</v>
      </c>
      <c r="F70" s="29">
        <v>228130</v>
      </c>
      <c r="G70" s="28">
        <f t="shared" si="0"/>
        <v>466220</v>
      </c>
    </row>
    <row r="71" spans="2:8" x14ac:dyDescent="0.25">
      <c r="B71" s="14" t="s">
        <v>115</v>
      </c>
      <c r="C71" s="29">
        <v>87279.862143000006</v>
      </c>
      <c r="D71" s="29">
        <v>76694.873093999995</v>
      </c>
      <c r="E71" s="29">
        <v>49904.936637999999</v>
      </c>
      <c r="F71" s="29">
        <v>173218</v>
      </c>
      <c r="G71" s="11">
        <f t="shared" si="0"/>
        <v>387097.671875</v>
      </c>
    </row>
    <row r="72" spans="2:8" x14ac:dyDescent="0.25">
      <c r="B72" s="82" t="s">
        <v>47</v>
      </c>
      <c r="C72" s="83"/>
      <c r="D72" s="83"/>
      <c r="E72" s="83"/>
      <c r="F72" s="83"/>
      <c r="G72" s="84"/>
    </row>
    <row r="73" spans="2:8" x14ac:dyDescent="0.25">
      <c r="B73" s="18" t="s">
        <v>116</v>
      </c>
      <c r="C73" s="19">
        <f>+C55+C67</f>
        <v>66421</v>
      </c>
      <c r="D73" s="19">
        <f>+D67+D61+D55</f>
        <v>5038</v>
      </c>
      <c r="E73" s="19">
        <v>2313</v>
      </c>
      <c r="F73" s="19">
        <v>12271</v>
      </c>
      <c r="G73" s="19">
        <f>SUM(C73:F73)</f>
        <v>86043</v>
      </c>
    </row>
    <row r="74" spans="2:8" x14ac:dyDescent="0.25">
      <c r="B74" s="18" t="s">
        <v>42</v>
      </c>
      <c r="C74" s="19">
        <f>+C56+C68</f>
        <v>67518.814630000008</v>
      </c>
      <c r="D74" s="19">
        <f t="shared" ref="D74:D76" si="1">+D68+D62+D56</f>
        <v>7160.824251</v>
      </c>
      <c r="E74" s="19">
        <v>3200.172474</v>
      </c>
      <c r="F74" s="19">
        <v>16990</v>
      </c>
      <c r="G74" s="22">
        <f>SUM(C74:F74)</f>
        <v>94869.811355000013</v>
      </c>
    </row>
    <row r="75" spans="2:8" x14ac:dyDescent="0.25">
      <c r="B75" s="18" t="s">
        <v>43</v>
      </c>
      <c r="C75" s="19">
        <v>19.604778609174801</v>
      </c>
      <c r="D75" s="19">
        <f>(+D57+D63+D69)/3</f>
        <v>32.518788813905765</v>
      </c>
      <c r="E75" s="19">
        <v>35</v>
      </c>
      <c r="F75" s="19">
        <v>37.5</v>
      </c>
      <c r="G75" s="19">
        <f>AVERAGE(C75:F75)</f>
        <v>31.155891855770143</v>
      </c>
    </row>
    <row r="76" spans="2:8" x14ac:dyDescent="0.25">
      <c r="B76" s="18" t="s">
        <v>44</v>
      </c>
      <c r="C76" s="19">
        <f>+C58+C70</f>
        <v>843768</v>
      </c>
      <c r="D76" s="19">
        <f t="shared" si="1"/>
        <v>226178</v>
      </c>
      <c r="E76" s="19">
        <v>101452</v>
      </c>
      <c r="F76" s="19">
        <v>290761</v>
      </c>
      <c r="G76" s="19">
        <f>SUM(C76:F76)</f>
        <v>1462159</v>
      </c>
    </row>
    <row r="77" spans="2:8" x14ac:dyDescent="0.25">
      <c r="B77" s="18" t="s">
        <v>115</v>
      </c>
      <c r="C77" s="19">
        <f>+C59+C71</f>
        <v>1603058.487919</v>
      </c>
      <c r="D77" s="19">
        <f>+D71+D65+D59</f>
        <v>360563.15404399997</v>
      </c>
      <c r="E77" s="19">
        <v>148480.52349399999</v>
      </c>
      <c r="F77" s="19">
        <v>296023</v>
      </c>
      <c r="G77" s="22">
        <f>SUM(C77:F77)</f>
        <v>2408125.165457</v>
      </c>
    </row>
    <row r="78" spans="2:8" x14ac:dyDescent="0.25">
      <c r="B78" s="69"/>
      <c r="C78" s="69"/>
      <c r="D78" s="69"/>
      <c r="E78" s="69"/>
      <c r="F78" s="69"/>
      <c r="G78" s="69"/>
      <c r="H78" s="69"/>
    </row>
    <row r="79" spans="2:8" x14ac:dyDescent="0.25">
      <c r="B79" s="74" t="s">
        <v>48</v>
      </c>
      <c r="C79" s="75"/>
      <c r="D79" s="75"/>
      <c r="E79" s="75"/>
      <c r="F79" s="75"/>
      <c r="G79" s="76"/>
    </row>
    <row r="80" spans="2:8" x14ac:dyDescent="0.25">
      <c r="B80" s="70" t="s">
        <v>40</v>
      </c>
      <c r="C80" s="71"/>
      <c r="D80" s="71"/>
      <c r="E80" s="71"/>
      <c r="F80" s="71"/>
      <c r="G80" s="72"/>
    </row>
    <row r="81" spans="2:7" x14ac:dyDescent="0.25">
      <c r="B81" s="14" t="s">
        <v>41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42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43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44</v>
      </c>
      <c r="C84" s="24">
        <v>1053</v>
      </c>
      <c r="D84" s="24">
        <v>129</v>
      </c>
      <c r="E84" s="24">
        <v>6</v>
      </c>
      <c r="F84" s="24">
        <v>107</v>
      </c>
      <c r="G84" s="24">
        <f>SUM(C84:F84)</f>
        <v>1295</v>
      </c>
    </row>
    <row r="85" spans="2:7" x14ac:dyDescent="0.25">
      <c r="B85" s="14" t="s">
        <v>115</v>
      </c>
      <c r="C85" s="24">
        <v>21355.568028999998</v>
      </c>
      <c r="D85" s="24">
        <v>1515</v>
      </c>
      <c r="E85" s="24">
        <v>75</v>
      </c>
      <c r="F85" s="28">
        <v>1884.9056430000001</v>
      </c>
      <c r="G85" s="11">
        <f>SUM(C85:F85)</f>
        <v>24830.473672</v>
      </c>
    </row>
    <row r="86" spans="2:7" x14ac:dyDescent="0.25">
      <c r="B86" s="70" t="s">
        <v>45</v>
      </c>
      <c r="C86" s="71"/>
      <c r="D86" s="71"/>
      <c r="E86" s="71"/>
      <c r="F86" s="71"/>
      <c r="G86" s="72"/>
    </row>
    <row r="87" spans="2:7" x14ac:dyDescent="0.25">
      <c r="B87" s="14" t="s">
        <v>41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42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43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44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115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0" t="s">
        <v>46</v>
      </c>
      <c r="C92" s="71"/>
      <c r="D92" s="71"/>
      <c r="E92" s="71"/>
      <c r="F92" s="71"/>
      <c r="G92" s="72"/>
    </row>
    <row r="93" spans="2:7" x14ac:dyDescent="0.25">
      <c r="B93" s="14" t="s">
        <v>41</v>
      </c>
      <c r="C93" s="28">
        <v>0</v>
      </c>
      <c r="D93" s="20">
        <v>0</v>
      </c>
      <c r="E93" s="20">
        <v>0</v>
      </c>
      <c r="F93" s="24">
        <v>0</v>
      </c>
      <c r="G93" s="28">
        <f>SUM(C93:F93)</f>
        <v>0</v>
      </c>
    </row>
    <row r="94" spans="2:7" x14ac:dyDescent="0.25">
      <c r="B94" s="14" t="s">
        <v>42</v>
      </c>
      <c r="C94" s="28">
        <v>0</v>
      </c>
      <c r="D94" s="20">
        <v>0</v>
      </c>
      <c r="E94" s="20">
        <v>0</v>
      </c>
      <c r="F94" s="24">
        <v>0</v>
      </c>
      <c r="G94" s="28">
        <f>SUM(C94:F94)</f>
        <v>0</v>
      </c>
    </row>
    <row r="95" spans="2:7" x14ac:dyDescent="0.25">
      <c r="B95" s="14" t="s">
        <v>43</v>
      </c>
      <c r="C95" s="29">
        <v>0</v>
      </c>
      <c r="D95" s="20">
        <v>0</v>
      </c>
      <c r="E95" s="20">
        <v>0</v>
      </c>
      <c r="F95" s="24">
        <v>0</v>
      </c>
      <c r="G95" s="28">
        <f>AVERAGE(C95:F95)</f>
        <v>0</v>
      </c>
    </row>
    <row r="96" spans="2:7" x14ac:dyDescent="0.25">
      <c r="B96" s="14" t="s">
        <v>44</v>
      </c>
      <c r="C96" s="24">
        <v>12</v>
      </c>
      <c r="D96" s="20">
        <v>0</v>
      </c>
      <c r="E96" s="33">
        <v>0</v>
      </c>
      <c r="F96" s="24">
        <v>7</v>
      </c>
      <c r="G96" s="28">
        <f>SUM(C96:F96)</f>
        <v>19</v>
      </c>
    </row>
    <row r="97" spans="2:8" x14ac:dyDescent="0.25">
      <c r="B97" s="14" t="s">
        <v>115</v>
      </c>
      <c r="C97" s="24">
        <v>183.12625499999999</v>
      </c>
      <c r="D97" s="20">
        <v>0</v>
      </c>
      <c r="E97" s="33">
        <v>0</v>
      </c>
      <c r="F97" s="24">
        <v>89.349027000000007</v>
      </c>
      <c r="G97" s="11">
        <f>SUM(C97:F97)</f>
        <v>272.47528199999999</v>
      </c>
    </row>
    <row r="98" spans="2:8" x14ac:dyDescent="0.25">
      <c r="B98" s="82" t="s">
        <v>49</v>
      </c>
      <c r="C98" s="83"/>
      <c r="D98" s="83"/>
      <c r="E98" s="83"/>
      <c r="F98" s="83"/>
      <c r="G98" s="84"/>
    </row>
    <row r="99" spans="2:8" x14ac:dyDescent="0.25">
      <c r="B99" s="18" t="s">
        <v>41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42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43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44</v>
      </c>
      <c r="C102" s="19">
        <f>+C96+C84</f>
        <v>1065</v>
      </c>
      <c r="D102" s="19">
        <f t="shared" ref="D102:D103" si="2">+D96+D90+D84</f>
        <v>129</v>
      </c>
      <c r="E102" s="19">
        <f>+E84</f>
        <v>6</v>
      </c>
      <c r="F102" s="27">
        <v>0</v>
      </c>
      <c r="G102" s="19">
        <f>SUM(C102:F102)</f>
        <v>1200</v>
      </c>
    </row>
    <row r="103" spans="2:8" x14ac:dyDescent="0.25">
      <c r="B103" s="18" t="s">
        <v>115</v>
      </c>
      <c r="C103" s="19">
        <f>+C97+C85</f>
        <v>21538.694283999997</v>
      </c>
      <c r="D103" s="19">
        <f t="shared" si="2"/>
        <v>1515</v>
      </c>
      <c r="E103" s="19">
        <f>+E85</f>
        <v>75</v>
      </c>
      <c r="F103" s="19">
        <v>0</v>
      </c>
      <c r="G103" s="22">
        <f>SUM(C103:F103)</f>
        <v>23128.694283999997</v>
      </c>
    </row>
    <row r="104" spans="2:8" x14ac:dyDescent="0.25">
      <c r="B104" s="69"/>
      <c r="C104" s="69"/>
      <c r="D104" s="69"/>
      <c r="E104" s="69"/>
      <c r="F104" s="69"/>
      <c r="G104" s="69"/>
      <c r="H104" s="69"/>
    </row>
    <row r="105" spans="2:8" x14ac:dyDescent="0.25">
      <c r="B105" s="68" t="s">
        <v>50</v>
      </c>
      <c r="C105" s="68"/>
      <c r="D105" s="68"/>
      <c r="E105" s="68"/>
      <c r="F105" s="68"/>
      <c r="G105" s="68"/>
    </row>
    <row r="106" spans="2:8" x14ac:dyDescent="0.25">
      <c r="B106" s="73" t="s">
        <v>51</v>
      </c>
      <c r="C106" s="73"/>
      <c r="D106" s="73"/>
      <c r="E106" s="73"/>
      <c r="F106" s="73"/>
      <c r="G106" s="73"/>
    </row>
    <row r="107" spans="2:8" x14ac:dyDescent="0.25">
      <c r="B107" s="14" t="s">
        <v>52</v>
      </c>
      <c r="C107" s="43">
        <v>1.9086875490161499</v>
      </c>
      <c r="D107" s="13">
        <v>2.9556346381968988</v>
      </c>
      <c r="E107" s="31">
        <v>2.44</v>
      </c>
      <c r="F107" s="13">
        <v>2.39</v>
      </c>
      <c r="G107" s="13">
        <f>AVERAGE(C107:F107)</f>
        <v>2.4235805468032621</v>
      </c>
    </row>
    <row r="108" spans="2:8" x14ac:dyDescent="0.25">
      <c r="B108" s="14" t="s">
        <v>53</v>
      </c>
      <c r="C108" s="43">
        <v>1.7369521322890009</v>
      </c>
      <c r="D108" s="13">
        <v>2.778962131837285</v>
      </c>
      <c r="E108" s="32">
        <v>2.4300000000000002</v>
      </c>
      <c r="F108" s="13">
        <v>2.39</v>
      </c>
      <c r="G108" s="13">
        <f>AVERAGE(C108:F108)</f>
        <v>2.3339785660315715</v>
      </c>
    </row>
    <row r="109" spans="2:8" x14ac:dyDescent="0.25">
      <c r="B109" s="14" t="s">
        <v>54</v>
      </c>
      <c r="C109" s="38">
        <v>1.6475506617038931</v>
      </c>
      <c r="D109" s="13">
        <v>2.6307712082261947</v>
      </c>
      <c r="E109" s="31">
        <v>2.5499999999999998</v>
      </c>
      <c r="F109" s="13">
        <v>2.4900000000000002</v>
      </c>
      <c r="G109" s="13">
        <f>AVERAGE(C109:F109)</f>
        <v>2.329580467482522</v>
      </c>
    </row>
    <row r="110" spans="2:8" x14ac:dyDescent="0.25">
      <c r="B110" s="73" t="s">
        <v>55</v>
      </c>
      <c r="C110" s="73"/>
      <c r="D110" s="73"/>
      <c r="E110" s="73"/>
      <c r="F110" s="73"/>
      <c r="G110" s="73"/>
    </row>
    <row r="111" spans="2:8" x14ac:dyDescent="0.25">
      <c r="B111" s="14" t="s">
        <v>52</v>
      </c>
      <c r="C111" s="13">
        <v>1.1199999999999997</v>
      </c>
      <c r="D111" s="13">
        <v>2.1100000000000003</v>
      </c>
      <c r="E111" s="31">
        <v>0</v>
      </c>
      <c r="F111" s="13">
        <v>1.19</v>
      </c>
      <c r="G111" s="13">
        <f>AVERAGE(C111:F111)</f>
        <v>1.105</v>
      </c>
    </row>
    <row r="112" spans="2:8" x14ac:dyDescent="0.25">
      <c r="B112" s="14" t="s">
        <v>53</v>
      </c>
      <c r="C112" s="13">
        <v>1.1797752808988817</v>
      </c>
      <c r="D112" s="13">
        <v>2.1311999999999993</v>
      </c>
      <c r="E112" s="31">
        <v>1.78</v>
      </c>
      <c r="F112" s="31">
        <v>1.78</v>
      </c>
      <c r="G112" s="13">
        <f>AVERAGE(C112:F112)</f>
        <v>1.7177438202247204</v>
      </c>
    </row>
    <row r="113" spans="2:9" x14ac:dyDescent="0.25">
      <c r="B113" s="14" t="s">
        <v>54</v>
      </c>
      <c r="C113" s="13">
        <v>1.2299612403100846</v>
      </c>
      <c r="D113" s="13">
        <v>2.1143661971831005</v>
      </c>
      <c r="E113" s="31">
        <v>1.94</v>
      </c>
      <c r="F113" s="31">
        <v>1.98</v>
      </c>
      <c r="G113" s="13">
        <f>AVERAGE(C113:F113)</f>
        <v>1.8160818593732961</v>
      </c>
    </row>
    <row r="114" spans="2:9" x14ac:dyDescent="0.25">
      <c r="B114" s="69"/>
      <c r="C114" s="69"/>
      <c r="D114" s="69"/>
      <c r="E114" s="69"/>
      <c r="F114" s="69"/>
      <c r="G114" s="69"/>
      <c r="H114" s="69"/>
      <c r="I114" s="69"/>
    </row>
    <row r="115" spans="2:9" x14ac:dyDescent="0.25">
      <c r="B115" s="73" t="s">
        <v>56</v>
      </c>
      <c r="C115" s="73"/>
      <c r="D115" s="73"/>
      <c r="E115" s="73"/>
      <c r="F115" s="73"/>
      <c r="G115" s="73"/>
    </row>
    <row r="116" spans="2:9" x14ac:dyDescent="0.25">
      <c r="B116" s="14" t="s">
        <v>52</v>
      </c>
      <c r="C116" s="13">
        <v>1.3009122807017381</v>
      </c>
      <c r="D116" s="13">
        <v>1.9919626168224323</v>
      </c>
      <c r="E116" s="32">
        <v>1.82</v>
      </c>
      <c r="F116" s="13">
        <v>1.77</v>
      </c>
      <c r="G116" s="13">
        <f>AVERAGE(C116:F116)</f>
        <v>1.7207187243810425</v>
      </c>
    </row>
    <row r="117" spans="2:9" x14ac:dyDescent="0.25">
      <c r="B117" s="14" t="s">
        <v>53</v>
      </c>
      <c r="C117" s="13">
        <v>1.3842559523809745</v>
      </c>
      <c r="D117" s="13">
        <v>1.9876683937823794</v>
      </c>
      <c r="E117" s="32">
        <v>1.82</v>
      </c>
      <c r="F117" s="13">
        <v>1.77</v>
      </c>
      <c r="G117" s="13">
        <f>AVERAGE(C117:F117)</f>
        <v>1.7404810865408384</v>
      </c>
    </row>
    <row r="118" spans="2:9" x14ac:dyDescent="0.25">
      <c r="B118" s="14" t="s">
        <v>54</v>
      </c>
      <c r="C118" s="13">
        <v>1.4369597465523745</v>
      </c>
      <c r="D118" s="13">
        <v>1.9912888132709843</v>
      </c>
      <c r="E118" s="32">
        <v>1.82</v>
      </c>
      <c r="F118" s="13">
        <v>1.79</v>
      </c>
      <c r="G118" s="13">
        <f>AVERAGE(C118:F118)</f>
        <v>1.7595621399558397</v>
      </c>
    </row>
    <row r="119" spans="2:9" x14ac:dyDescent="0.25">
      <c r="B119" s="70" t="s">
        <v>57</v>
      </c>
      <c r="C119" s="71"/>
      <c r="D119" s="71"/>
      <c r="E119" s="71"/>
      <c r="F119" s="71"/>
      <c r="G119" s="72"/>
    </row>
    <row r="120" spans="2:9" x14ac:dyDescent="0.25">
      <c r="B120" s="14" t="s">
        <v>52</v>
      </c>
      <c r="C120" s="13">
        <v>0</v>
      </c>
      <c r="D120" s="13">
        <v>1.4044000000000003</v>
      </c>
      <c r="E120" s="31">
        <v>0</v>
      </c>
      <c r="F120" s="31">
        <v>0.39</v>
      </c>
      <c r="G120" s="13">
        <f>AVERAGE(C120:F120)</f>
        <v>0.44860000000000011</v>
      </c>
    </row>
    <row r="121" spans="2:9" x14ac:dyDescent="0.25">
      <c r="B121" s="14" t="s">
        <v>53</v>
      </c>
      <c r="C121" s="13">
        <v>1.1499999999999999</v>
      </c>
      <c r="D121" s="13">
        <v>1.4044000000000003</v>
      </c>
      <c r="E121" s="31">
        <v>0</v>
      </c>
      <c r="F121" s="13">
        <v>1.29</v>
      </c>
      <c r="G121" s="13">
        <f>AVERAGE(C121:F121)</f>
        <v>0.96110000000000007</v>
      </c>
    </row>
    <row r="122" spans="2:9" x14ac:dyDescent="0.25">
      <c r="B122" s="14" t="s">
        <v>54</v>
      </c>
      <c r="C122" s="13">
        <v>1.1999999999999997</v>
      </c>
      <c r="D122" s="13">
        <v>1.4044000000000003</v>
      </c>
      <c r="E122" s="31">
        <v>1.38</v>
      </c>
      <c r="F122" s="13">
        <v>1.29</v>
      </c>
      <c r="G122" s="13">
        <f>AVERAGE(C122:F122)</f>
        <v>1.3186</v>
      </c>
    </row>
    <row r="123" spans="2:9" x14ac:dyDescent="0.25">
      <c r="B123" s="69"/>
      <c r="C123" s="69"/>
      <c r="D123" s="69"/>
      <c r="E123" s="69"/>
      <c r="F123" s="69"/>
      <c r="G123" s="69"/>
      <c r="H123" s="69"/>
    </row>
    <row r="124" spans="2:9" x14ac:dyDescent="0.25">
      <c r="B124" s="74" t="s">
        <v>58</v>
      </c>
      <c r="C124" s="75"/>
      <c r="D124" s="75"/>
      <c r="E124" s="75"/>
      <c r="F124" s="75"/>
      <c r="G124" s="76"/>
    </row>
    <row r="125" spans="2:9" x14ac:dyDescent="0.25">
      <c r="B125" s="2" t="s">
        <v>59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4" t="s">
        <v>60</v>
      </c>
      <c r="C126" s="75"/>
      <c r="D126" s="75"/>
      <c r="E126" s="75"/>
      <c r="F126" s="75"/>
      <c r="G126" s="76"/>
    </row>
    <row r="127" spans="2:9" x14ac:dyDescent="0.25">
      <c r="B127" s="3" t="s">
        <v>61</v>
      </c>
      <c r="C127" s="13">
        <v>1.48</v>
      </c>
      <c r="D127" s="42">
        <v>2.0581070865008</v>
      </c>
      <c r="E127" s="34">
        <v>1.8914679999999999</v>
      </c>
      <c r="F127" s="4">
        <v>0</v>
      </c>
      <c r="G127" s="11">
        <f>AVERAGE(C127:E127)</f>
        <v>1.8098583621669333</v>
      </c>
    </row>
    <row r="128" spans="2:9" x14ac:dyDescent="0.25">
      <c r="B128" s="81"/>
      <c r="C128" s="81"/>
      <c r="D128" s="81"/>
      <c r="E128" s="81"/>
      <c r="F128" s="81"/>
      <c r="G128" s="81"/>
      <c r="H128" s="81"/>
    </row>
    <row r="129" spans="2:9" x14ac:dyDescent="0.25">
      <c r="B129" s="68" t="s">
        <v>62</v>
      </c>
      <c r="C129" s="68"/>
      <c r="D129" s="68"/>
      <c r="E129" s="68"/>
      <c r="F129" s="68"/>
      <c r="G129" s="68"/>
    </row>
    <row r="130" spans="2:9" x14ac:dyDescent="0.25">
      <c r="B130" s="14" t="s">
        <v>63</v>
      </c>
      <c r="C130" s="28">
        <v>280480</v>
      </c>
      <c r="D130" s="28">
        <v>4341</v>
      </c>
      <c r="E130" s="28">
        <v>8599</v>
      </c>
      <c r="F130" s="28">
        <v>839</v>
      </c>
      <c r="G130" s="28">
        <f>SUM(C130:F130)</f>
        <v>294259</v>
      </c>
    </row>
    <row r="131" spans="2:9" x14ac:dyDescent="0.25">
      <c r="B131" s="14" t="s">
        <v>64</v>
      </c>
      <c r="C131" s="28">
        <v>191585.494924</v>
      </c>
      <c r="D131" s="28">
        <v>3982.4580270000001</v>
      </c>
      <c r="E131" s="28">
        <v>1168</v>
      </c>
      <c r="F131" s="28">
        <v>1017.338579</v>
      </c>
      <c r="G131" s="11">
        <f>SUM(C131:F131)</f>
        <v>197753.29152999999</v>
      </c>
    </row>
    <row r="132" spans="2:9" x14ac:dyDescent="0.25">
      <c r="B132" s="69"/>
      <c r="C132" s="69"/>
      <c r="D132" s="69"/>
      <c r="E132" s="69"/>
      <c r="F132" s="69"/>
      <c r="G132" s="69"/>
      <c r="H132" s="69"/>
    </row>
    <row r="133" spans="2:9" x14ac:dyDescent="0.25">
      <c r="B133" s="68" t="s">
        <v>65</v>
      </c>
      <c r="C133" s="68"/>
      <c r="D133" s="68"/>
      <c r="E133" s="68"/>
      <c r="F133" s="68"/>
      <c r="G133" s="68"/>
    </row>
    <row r="134" spans="2:9" x14ac:dyDescent="0.25">
      <c r="B134" s="14" t="s">
        <v>66</v>
      </c>
      <c r="C134" s="28">
        <v>591882</v>
      </c>
      <c r="D134" s="28">
        <v>72787</v>
      </c>
      <c r="E134" s="28">
        <f>90848+21353</f>
        <v>112201</v>
      </c>
      <c r="F134" s="28">
        <v>290470</v>
      </c>
      <c r="G134" s="28">
        <f>SUM(C134:F134)</f>
        <v>1067340</v>
      </c>
    </row>
    <row r="135" spans="2:9" x14ac:dyDescent="0.25">
      <c r="B135" s="69"/>
      <c r="C135" s="69"/>
      <c r="D135" s="69"/>
      <c r="E135" s="69"/>
      <c r="F135" s="69"/>
      <c r="G135" s="69"/>
      <c r="H135" s="69"/>
    </row>
    <row r="136" spans="2:9" ht="21" x14ac:dyDescent="0.35">
      <c r="B136" s="77" t="s">
        <v>67</v>
      </c>
      <c r="C136" s="77"/>
      <c r="D136" s="77"/>
      <c r="E136" s="77"/>
      <c r="F136" s="77"/>
      <c r="G136" s="77"/>
    </row>
    <row r="137" spans="2:9" x14ac:dyDescent="0.25">
      <c r="B137" s="68" t="s">
        <v>68</v>
      </c>
      <c r="C137" s="68"/>
      <c r="D137" s="68"/>
      <c r="E137" s="68"/>
      <c r="F137" s="68"/>
      <c r="G137" s="68"/>
    </row>
    <row r="138" spans="2:9" x14ac:dyDescent="0.25">
      <c r="B138" s="14" t="s">
        <v>69</v>
      </c>
      <c r="C138" s="28">
        <v>0</v>
      </c>
      <c r="D138" s="28">
        <v>5016</v>
      </c>
      <c r="E138" s="28">
        <v>0</v>
      </c>
      <c r="F138" s="28">
        <v>15583</v>
      </c>
      <c r="G138" s="28">
        <f>SUM(C138:F138)</f>
        <v>20599</v>
      </c>
      <c r="H138" s="7"/>
      <c r="I138" s="7"/>
    </row>
    <row r="139" spans="2:9" x14ac:dyDescent="0.25">
      <c r="B139" s="14" t="s">
        <v>70</v>
      </c>
      <c r="C139" s="28">
        <v>0</v>
      </c>
      <c r="D139" s="28">
        <v>5</v>
      </c>
      <c r="E139" s="28">
        <v>0</v>
      </c>
      <c r="F139" s="28">
        <v>153</v>
      </c>
      <c r="G139" s="28">
        <f>SUM(C139:F139)</f>
        <v>158</v>
      </c>
      <c r="H139" s="7"/>
      <c r="I139" s="7"/>
    </row>
    <row r="140" spans="2:9" x14ac:dyDescent="0.25">
      <c r="B140" s="69"/>
      <c r="C140" s="69"/>
      <c r="D140" s="69"/>
      <c r="E140" s="69"/>
      <c r="F140" s="69"/>
      <c r="G140" s="69"/>
      <c r="H140" s="69"/>
      <c r="I140" s="7"/>
    </row>
    <row r="141" spans="2:9" x14ac:dyDescent="0.25">
      <c r="B141" s="69"/>
      <c r="C141" s="69"/>
      <c r="D141" s="69"/>
      <c r="E141" s="69"/>
      <c r="F141" s="69"/>
      <c r="G141" s="69"/>
      <c r="H141" s="69"/>
    </row>
    <row r="142" spans="2:9" ht="21" x14ac:dyDescent="0.35">
      <c r="B142" s="78" t="s">
        <v>71</v>
      </c>
      <c r="C142" s="79"/>
      <c r="D142" s="79"/>
      <c r="E142" s="79"/>
      <c r="F142" s="79"/>
      <c r="G142" s="80"/>
    </row>
    <row r="143" spans="2:9" x14ac:dyDescent="0.25">
      <c r="B143" s="74" t="s">
        <v>72</v>
      </c>
      <c r="C143" s="75"/>
      <c r="D143" s="75"/>
      <c r="E143" s="75"/>
      <c r="F143" s="75"/>
      <c r="G143" s="76"/>
    </row>
    <row r="144" spans="2:9" x14ac:dyDescent="0.25">
      <c r="B144" s="69"/>
      <c r="C144" s="69"/>
      <c r="D144" s="69"/>
      <c r="E144" s="69"/>
      <c r="F144" s="69"/>
      <c r="G144" s="69"/>
      <c r="H144" s="69"/>
    </row>
    <row r="145" spans="2:8" x14ac:dyDescent="0.25">
      <c r="B145" s="73" t="s">
        <v>73</v>
      </c>
      <c r="C145" s="73"/>
      <c r="D145" s="73"/>
      <c r="E145" s="73"/>
      <c r="F145" s="73"/>
      <c r="G145" s="73"/>
    </row>
    <row r="146" spans="2:8" x14ac:dyDescent="0.25">
      <c r="B146" s="14" t="s">
        <v>74</v>
      </c>
      <c r="C146" s="28">
        <v>0</v>
      </c>
      <c r="D146" s="28">
        <v>1453</v>
      </c>
      <c r="E146" s="36">
        <v>0</v>
      </c>
      <c r="F146" s="1">
        <v>251</v>
      </c>
      <c r="G146" s="28">
        <f>SUM(C146:F146)</f>
        <v>1704</v>
      </c>
    </row>
    <row r="147" spans="2:8" x14ac:dyDescent="0.25">
      <c r="B147" s="14" t="s">
        <v>75</v>
      </c>
      <c r="C147" s="28">
        <v>0</v>
      </c>
      <c r="D147" s="28">
        <v>31.817499999999999</v>
      </c>
      <c r="E147" s="36">
        <v>0</v>
      </c>
      <c r="F147" s="30">
        <v>3.3027500000000001</v>
      </c>
      <c r="G147" s="11">
        <f>SUM(C147:F147)</f>
        <v>35.120249999999999</v>
      </c>
    </row>
    <row r="148" spans="2:8" x14ac:dyDescent="0.25">
      <c r="B148" s="69"/>
      <c r="C148" s="69"/>
      <c r="D148" s="69"/>
      <c r="E148" s="69"/>
      <c r="F148" s="69"/>
      <c r="G148" s="69"/>
      <c r="H148" s="69"/>
    </row>
    <row r="149" spans="2:8" x14ac:dyDescent="0.25">
      <c r="B149" s="73" t="s">
        <v>76</v>
      </c>
      <c r="C149" s="73"/>
      <c r="D149" s="73"/>
      <c r="E149" s="73"/>
      <c r="F149" s="73"/>
      <c r="G149" s="73"/>
    </row>
    <row r="150" spans="2:8" x14ac:dyDescent="0.25">
      <c r="B150" s="14" t="s">
        <v>77</v>
      </c>
      <c r="C150" s="28">
        <v>0</v>
      </c>
      <c r="D150" s="12">
        <v>1</v>
      </c>
      <c r="E150" s="41">
        <v>4</v>
      </c>
      <c r="F150" s="28">
        <v>0</v>
      </c>
      <c r="G150" s="28">
        <f>SUM(C150:F150)</f>
        <v>5</v>
      </c>
      <c r="H150"/>
    </row>
    <row r="151" spans="2:8" x14ac:dyDescent="0.25">
      <c r="B151" s="14" t="s">
        <v>78</v>
      </c>
      <c r="C151" s="28">
        <v>0</v>
      </c>
      <c r="D151" s="12">
        <v>2.1999999999999999E-2</v>
      </c>
      <c r="E151" s="44">
        <f>121000/1000000</f>
        <v>0.121</v>
      </c>
      <c r="F151" s="28">
        <v>0</v>
      </c>
      <c r="G151" s="11">
        <f>SUM(C151:F151)</f>
        <v>0.14299999999999999</v>
      </c>
      <c r="H151"/>
    </row>
    <row r="152" spans="2:8" x14ac:dyDescent="0.25">
      <c r="B152" s="69"/>
      <c r="C152" s="69"/>
      <c r="D152" s="69"/>
      <c r="E152" s="69"/>
      <c r="F152" s="69"/>
      <c r="G152" s="69"/>
      <c r="H152" s="69"/>
    </row>
    <row r="153" spans="2:8" x14ac:dyDescent="0.25">
      <c r="B153" s="73" t="s">
        <v>79</v>
      </c>
      <c r="C153" s="73"/>
      <c r="D153" s="73"/>
      <c r="E153" s="73"/>
      <c r="F153" s="73"/>
      <c r="G153" s="73"/>
    </row>
    <row r="154" spans="2:8" x14ac:dyDescent="0.25">
      <c r="B154" s="14" t="s">
        <v>80</v>
      </c>
      <c r="C154" s="14">
        <v>0</v>
      </c>
      <c r="D154" s="28">
        <v>109</v>
      </c>
      <c r="E154" s="36">
        <v>0</v>
      </c>
      <c r="F154" s="35">
        <v>2</v>
      </c>
      <c r="G154" s="28">
        <f>SUM(C154:F154)</f>
        <v>111</v>
      </c>
      <c r="H154"/>
    </row>
    <row r="155" spans="2:8" x14ac:dyDescent="0.25">
      <c r="B155" s="14" t="s">
        <v>81</v>
      </c>
      <c r="C155" s="28">
        <v>0</v>
      </c>
      <c r="D155" s="28">
        <v>1.44</v>
      </c>
      <c r="E155" s="36">
        <v>0</v>
      </c>
      <c r="F155" s="35">
        <v>0</v>
      </c>
      <c r="G155" s="11">
        <f>SUM(C155:F155)</f>
        <v>1.44</v>
      </c>
      <c r="H155"/>
    </row>
    <row r="156" spans="2:8" x14ac:dyDescent="0.25">
      <c r="B156" s="69"/>
      <c r="C156" s="69"/>
      <c r="D156" s="69"/>
      <c r="E156" s="69"/>
      <c r="F156" s="69"/>
      <c r="G156" s="69"/>
      <c r="H156" s="69"/>
    </row>
    <row r="157" spans="2:8" x14ac:dyDescent="0.25">
      <c r="B157" s="70" t="s">
        <v>82</v>
      </c>
      <c r="C157" s="71"/>
      <c r="D157" s="71"/>
      <c r="E157" s="71"/>
      <c r="F157" s="71"/>
      <c r="G157" s="72"/>
    </row>
    <row r="158" spans="2:8" x14ac:dyDescent="0.25">
      <c r="B158" s="18" t="s">
        <v>83</v>
      </c>
      <c r="C158" s="19">
        <v>0</v>
      </c>
      <c r="D158" s="19">
        <v>1563</v>
      </c>
      <c r="E158" s="19">
        <f>+E154+E150+E146</f>
        <v>4</v>
      </c>
      <c r="F158" s="19">
        <f>F146+F154</f>
        <v>253</v>
      </c>
      <c r="G158" s="19">
        <f>SUM(C158:F158)</f>
        <v>1820</v>
      </c>
    </row>
    <row r="159" spans="2:8" x14ac:dyDescent="0.25">
      <c r="B159" s="18" t="s">
        <v>84</v>
      </c>
      <c r="C159" s="19">
        <v>0</v>
      </c>
      <c r="D159" s="19">
        <v>33.279499999999999</v>
      </c>
      <c r="E159" s="19">
        <f>+E155+E151+E147</f>
        <v>0.121</v>
      </c>
      <c r="F159" s="19">
        <f>F147+F155</f>
        <v>3.3027500000000001</v>
      </c>
      <c r="G159" s="22">
        <f>SUM(C159:F159)</f>
        <v>36.703250000000004</v>
      </c>
    </row>
    <row r="160" spans="2:8" x14ac:dyDescent="0.25">
      <c r="B160" s="69"/>
      <c r="C160" s="69"/>
      <c r="D160" s="69"/>
      <c r="E160" s="69"/>
      <c r="F160" s="69"/>
      <c r="G160" s="69"/>
      <c r="H160" s="69"/>
    </row>
    <row r="161" spans="2:8" x14ac:dyDescent="0.25">
      <c r="B161" s="68" t="s">
        <v>85</v>
      </c>
      <c r="C161" s="68"/>
      <c r="D161" s="68"/>
      <c r="E161" s="68"/>
      <c r="F161" s="68"/>
      <c r="G161" s="68"/>
    </row>
    <row r="162" spans="2:8" x14ac:dyDescent="0.25">
      <c r="B162" s="14" t="s">
        <v>80</v>
      </c>
      <c r="C162" s="28">
        <v>2494</v>
      </c>
      <c r="D162" s="28">
        <v>33615</v>
      </c>
      <c r="E162" s="28">
        <v>3126</v>
      </c>
      <c r="F162" s="28">
        <v>16109</v>
      </c>
      <c r="G162" s="28">
        <f>SUM(C162:F162)</f>
        <v>55344</v>
      </c>
    </row>
    <row r="163" spans="2:8" x14ac:dyDescent="0.25">
      <c r="B163" s="14" t="s">
        <v>81</v>
      </c>
      <c r="C163" s="28">
        <f>58694479/1000000</f>
        <v>58.694479000000001</v>
      </c>
      <c r="D163" s="28">
        <v>219.65616300000002</v>
      </c>
      <c r="E163" s="28">
        <f>48958661/1000000</f>
        <v>48.958660999999999</v>
      </c>
      <c r="F163" s="28">
        <v>94.090080999999998</v>
      </c>
      <c r="G163" s="11">
        <f>SUM(C163:F163)</f>
        <v>421.399384</v>
      </c>
    </row>
    <row r="164" spans="2:8" x14ac:dyDescent="0.25">
      <c r="B164" s="69"/>
      <c r="C164" s="69"/>
      <c r="D164" s="69"/>
      <c r="E164" s="69"/>
      <c r="F164" s="69"/>
      <c r="G164" s="69"/>
    </row>
    <row r="165" spans="2:8" x14ac:dyDescent="0.25">
      <c r="B165" s="74" t="s">
        <v>86</v>
      </c>
      <c r="C165" s="75"/>
      <c r="D165" s="75"/>
      <c r="E165" s="75"/>
      <c r="F165" s="75"/>
      <c r="G165" s="76"/>
    </row>
    <row r="166" spans="2:8" x14ac:dyDescent="0.25">
      <c r="B166" s="70" t="s">
        <v>87</v>
      </c>
      <c r="C166" s="71"/>
      <c r="D166" s="71"/>
      <c r="E166" s="71"/>
      <c r="F166" s="71"/>
      <c r="G166" s="72"/>
    </row>
    <row r="167" spans="2:8" x14ac:dyDescent="0.25">
      <c r="B167" s="14" t="s">
        <v>88</v>
      </c>
      <c r="C167" s="28">
        <v>245</v>
      </c>
      <c r="D167" s="28">
        <v>3111</v>
      </c>
      <c r="E167" s="28">
        <v>505</v>
      </c>
      <c r="F167" s="28">
        <v>471</v>
      </c>
      <c r="G167" s="28">
        <f>SUM(C167:F167)</f>
        <v>4332</v>
      </c>
    </row>
    <row r="168" spans="2:8" x14ac:dyDescent="0.25">
      <c r="B168" s="14" t="s">
        <v>89</v>
      </c>
      <c r="C168" s="28">
        <f>6125000/1000000</f>
        <v>6.125</v>
      </c>
      <c r="D168" s="28">
        <v>67.094999999999999</v>
      </c>
      <c r="E168" s="28">
        <f>8505000/1000000</f>
        <v>8.5050000000000008</v>
      </c>
      <c r="F168" s="28">
        <v>17.364999999999998</v>
      </c>
      <c r="G168" s="11">
        <f>SUM(C168:F168)</f>
        <v>99.089999999999989</v>
      </c>
    </row>
    <row r="169" spans="2:8" x14ac:dyDescent="0.25">
      <c r="B169" s="69"/>
      <c r="C169" s="69"/>
      <c r="D169" s="69"/>
      <c r="E169" s="69"/>
      <c r="F169" s="69"/>
      <c r="G169" s="69"/>
    </row>
    <row r="170" spans="2:8" x14ac:dyDescent="0.25">
      <c r="B170" s="70" t="s">
        <v>90</v>
      </c>
      <c r="C170" s="71"/>
      <c r="D170" s="71"/>
      <c r="E170" s="71"/>
      <c r="F170" s="71"/>
      <c r="G170" s="72"/>
    </row>
    <row r="171" spans="2:8" x14ac:dyDescent="0.25">
      <c r="B171" s="14" t="s">
        <v>91</v>
      </c>
      <c r="C171" s="28">
        <v>840</v>
      </c>
      <c r="D171" s="28">
        <v>443</v>
      </c>
      <c r="E171" s="28">
        <v>137</v>
      </c>
      <c r="F171" s="28">
        <v>253</v>
      </c>
      <c r="G171" s="28">
        <f>SUM(C171:F171)</f>
        <v>1673</v>
      </c>
    </row>
    <row r="172" spans="2:8" x14ac:dyDescent="0.25">
      <c r="B172" s="14" t="s">
        <v>89</v>
      </c>
      <c r="C172" s="28">
        <f>18480000/1000000</f>
        <v>18.48</v>
      </c>
      <c r="D172" s="28">
        <v>9.3030000000000008</v>
      </c>
      <c r="E172" s="28">
        <f>3425000/1000000</f>
        <v>3.4249999999999998</v>
      </c>
      <c r="F172" s="28">
        <v>5.5679999999999996</v>
      </c>
      <c r="G172" s="11">
        <f>SUM(C172:F172)</f>
        <v>36.776000000000003</v>
      </c>
    </row>
    <row r="173" spans="2:8" x14ac:dyDescent="0.25">
      <c r="B173" s="69"/>
      <c r="C173" s="69"/>
      <c r="D173" s="69"/>
      <c r="E173" s="69"/>
      <c r="F173" s="69"/>
      <c r="G173" s="69"/>
      <c r="H173" s="69"/>
    </row>
    <row r="174" spans="2:8" x14ac:dyDescent="0.25">
      <c r="B174" s="70" t="s">
        <v>92</v>
      </c>
      <c r="C174" s="71"/>
      <c r="D174" s="71"/>
      <c r="E174" s="71"/>
      <c r="F174" s="71"/>
      <c r="G174" s="72"/>
    </row>
    <row r="175" spans="2:8" x14ac:dyDescent="0.25">
      <c r="B175" s="14" t="s">
        <v>91</v>
      </c>
      <c r="C175" s="28">
        <v>249</v>
      </c>
      <c r="D175" s="28">
        <v>294</v>
      </c>
      <c r="E175" s="28">
        <v>198</v>
      </c>
      <c r="F175" s="28">
        <v>27</v>
      </c>
      <c r="G175" s="28">
        <f>SUM(C175:F175)</f>
        <v>768</v>
      </c>
    </row>
    <row r="176" spans="2:8" x14ac:dyDescent="0.25">
      <c r="B176" s="14" t="s">
        <v>89</v>
      </c>
      <c r="C176" s="28">
        <f>17430000/1000000</f>
        <v>17.43</v>
      </c>
      <c r="D176" s="28">
        <v>30.62</v>
      </c>
      <c r="E176" s="28">
        <f>11232868/1000000</f>
        <v>11.232868</v>
      </c>
      <c r="F176" s="28">
        <v>2.71</v>
      </c>
      <c r="G176" s="11">
        <f>SUM(C176:F176)</f>
        <v>61.992867999999994</v>
      </c>
    </row>
    <row r="177" spans="2:8" x14ac:dyDescent="0.25">
      <c r="B177" s="69"/>
      <c r="C177" s="69"/>
      <c r="D177" s="69"/>
      <c r="E177" s="69"/>
      <c r="F177" s="69"/>
      <c r="G177" s="69"/>
      <c r="H177" s="69"/>
    </row>
    <row r="178" spans="2:8" x14ac:dyDescent="0.25">
      <c r="B178" s="70" t="s">
        <v>93</v>
      </c>
      <c r="C178" s="71"/>
      <c r="D178" s="71"/>
      <c r="E178" s="71"/>
      <c r="F178" s="71"/>
      <c r="G178" s="72"/>
    </row>
    <row r="179" spans="2:8" x14ac:dyDescent="0.25">
      <c r="B179" s="14" t="s">
        <v>91</v>
      </c>
      <c r="C179" s="28">
        <v>336</v>
      </c>
      <c r="D179" s="28">
        <v>159145</v>
      </c>
      <c r="E179" s="28">
        <v>0</v>
      </c>
      <c r="F179" s="28">
        <v>0</v>
      </c>
      <c r="G179" s="28">
        <f>SUM(C179:F179)</f>
        <v>159481</v>
      </c>
    </row>
    <row r="180" spans="2:8" x14ac:dyDescent="0.25">
      <c r="B180" s="14" t="s">
        <v>89</v>
      </c>
      <c r="C180" s="28">
        <f>10260000/1000000</f>
        <v>10.26</v>
      </c>
      <c r="D180" s="28">
        <v>2466.2086893798132</v>
      </c>
      <c r="E180" s="28">
        <v>0</v>
      </c>
      <c r="F180" s="28">
        <v>0</v>
      </c>
      <c r="G180" s="11">
        <f>SUM(C180:F180)</f>
        <v>2476.4686893798134</v>
      </c>
    </row>
    <row r="181" spans="2:8" x14ac:dyDescent="0.25">
      <c r="B181" s="69"/>
      <c r="C181" s="69"/>
      <c r="D181" s="69"/>
      <c r="E181" s="69"/>
      <c r="F181" s="69"/>
      <c r="G181" s="69"/>
      <c r="H181" s="69"/>
    </row>
    <row r="182" spans="2:8" x14ac:dyDescent="0.25">
      <c r="B182" s="68" t="s">
        <v>94</v>
      </c>
      <c r="C182" s="68"/>
      <c r="D182" s="68"/>
      <c r="E182" s="68"/>
      <c r="F182" s="68"/>
      <c r="G182" s="68"/>
    </row>
    <row r="183" spans="2:8" x14ac:dyDescent="0.25">
      <c r="B183" s="18" t="s">
        <v>95</v>
      </c>
      <c r="C183" s="19">
        <f>+C179+C175+C171+C167</f>
        <v>1670</v>
      </c>
      <c r="D183" s="19">
        <v>162993</v>
      </c>
      <c r="E183" s="19">
        <f t="shared" ref="E183:E184" si="3">+E179+E175+E171+E167</f>
        <v>840</v>
      </c>
      <c r="F183" s="19">
        <f>+F179+F175+F171+F167</f>
        <v>751</v>
      </c>
      <c r="G183" s="19">
        <f>SUM(C183:F183)</f>
        <v>166254</v>
      </c>
    </row>
    <row r="184" spans="2:8" x14ac:dyDescent="0.25">
      <c r="B184" s="18" t="s">
        <v>96</v>
      </c>
      <c r="C184" s="19">
        <f>+C180+C176+C172+C168</f>
        <v>52.295000000000002</v>
      </c>
      <c r="D184" s="19">
        <v>2573.2266893798133</v>
      </c>
      <c r="E184" s="19">
        <f t="shared" si="3"/>
        <v>23.162868000000003</v>
      </c>
      <c r="F184" s="19">
        <f>+F180+F176+F172+F168</f>
        <v>25.642999999999997</v>
      </c>
      <c r="G184" s="22">
        <f>SUM(C184:F184)</f>
        <v>2674.3275573798132</v>
      </c>
    </row>
    <row r="185" spans="2:8" x14ac:dyDescent="0.25">
      <c r="B185" s="69"/>
      <c r="C185" s="69"/>
      <c r="D185" s="69"/>
      <c r="E185" s="69"/>
      <c r="F185" s="69"/>
      <c r="G185" s="69"/>
      <c r="H185" s="69"/>
    </row>
    <row r="186" spans="2:8" x14ac:dyDescent="0.25">
      <c r="B186" s="68" t="s">
        <v>97</v>
      </c>
      <c r="C186" s="68"/>
      <c r="D186" s="68"/>
      <c r="E186" s="68"/>
      <c r="F186" s="68"/>
      <c r="G186" s="68"/>
    </row>
    <row r="187" spans="2:8" x14ac:dyDescent="0.25">
      <c r="B187" s="14" t="s">
        <v>98</v>
      </c>
      <c r="C187" s="28">
        <v>2770</v>
      </c>
      <c r="D187" s="28">
        <v>354</v>
      </c>
      <c r="E187" s="28">
        <v>57</v>
      </c>
      <c r="F187" s="28">
        <f>F166+F171+F175+F179+F162</f>
        <v>16389</v>
      </c>
      <c r="G187" s="28">
        <f>SUM(C187:F187)</f>
        <v>19570</v>
      </c>
    </row>
    <row r="188" spans="2:8" x14ac:dyDescent="0.25">
      <c r="B188" s="14" t="s">
        <v>99</v>
      </c>
      <c r="C188" s="28">
        <f>25996106/1000000</f>
        <v>25.996106000000001</v>
      </c>
      <c r="D188" s="28">
        <v>69.198350999999988</v>
      </c>
      <c r="E188" s="28">
        <f>2320000/1000000</f>
        <v>2.3199999999999998</v>
      </c>
      <c r="F188" s="28">
        <f>F167+F172+F176+F180+F163</f>
        <v>573.36808099999996</v>
      </c>
      <c r="G188" s="11">
        <f>SUM(C188:F188)</f>
        <v>670.88253799999995</v>
      </c>
    </row>
    <row r="189" spans="2:8" x14ac:dyDescent="0.25">
      <c r="B189" s="69"/>
      <c r="C189" s="69"/>
      <c r="D189" s="69"/>
      <c r="E189" s="69"/>
      <c r="F189" s="69"/>
      <c r="G189" s="69"/>
      <c r="H189" s="69"/>
    </row>
    <row r="190" spans="2:8" x14ac:dyDescent="0.25">
      <c r="B190" s="68" t="s">
        <v>100</v>
      </c>
      <c r="C190" s="68"/>
      <c r="D190" s="68"/>
      <c r="E190" s="68"/>
      <c r="F190" s="68"/>
      <c r="G190" s="68"/>
    </row>
    <row r="191" spans="2:8" x14ac:dyDescent="0.25">
      <c r="B191" s="18" t="s">
        <v>101</v>
      </c>
      <c r="C191" s="19">
        <f>C187+C162+C183</f>
        <v>6934</v>
      </c>
      <c r="D191" s="19">
        <v>198525</v>
      </c>
      <c r="E191" s="19">
        <f t="shared" ref="E191:E192" si="4">+E187+E183+E162+E158</f>
        <v>4027</v>
      </c>
      <c r="F191" s="19">
        <f>F158+F162+F183+F187</f>
        <v>33502</v>
      </c>
      <c r="G191" s="19">
        <f>SUM(C191:F191)</f>
        <v>242988</v>
      </c>
    </row>
    <row r="192" spans="2:8" x14ac:dyDescent="0.25">
      <c r="B192" s="18" t="s">
        <v>102</v>
      </c>
      <c r="C192" s="19">
        <f>C188+C163+C184</f>
        <v>136.98558500000001</v>
      </c>
      <c r="D192" s="19">
        <v>2895.3607033798135</v>
      </c>
      <c r="E192" s="19">
        <f t="shared" si="4"/>
        <v>74.562528999999998</v>
      </c>
      <c r="F192" s="19">
        <f>F159+F184+F163+F188</f>
        <v>696.40391199999999</v>
      </c>
      <c r="G192" s="22">
        <f>SUM(C192:F192)</f>
        <v>3803.3127293798134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6:G36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49:G149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73:H173"/>
    <mergeCell ref="B152:H152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86:G186"/>
    <mergeCell ref="B189:H189"/>
    <mergeCell ref="B190:G190"/>
    <mergeCell ref="B174:G174"/>
    <mergeCell ref="B177:H177"/>
    <mergeCell ref="B178:G178"/>
    <mergeCell ref="B181:H181"/>
    <mergeCell ref="B182:G182"/>
    <mergeCell ref="B185:H18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195"/>
  <sheetViews>
    <sheetView topLeftCell="B1" zoomScaleNormal="100" workbookViewId="0">
      <selection activeCell="C6" sqref="C6"/>
    </sheetView>
  </sheetViews>
  <sheetFormatPr baseColWidth="10" defaultColWidth="9.140625" defaultRowHeight="15" x14ac:dyDescent="0.25"/>
  <cols>
    <col min="1" max="1" width="11.42578125" style="1" customWidth="1"/>
    <col min="2" max="2" width="54.7109375" customWidth="1"/>
    <col min="3" max="3" width="18.7109375" bestFit="1" customWidth="1"/>
    <col min="4" max="4" width="17.5703125" customWidth="1"/>
    <col min="5" max="5" width="17.140625" bestFit="1" customWidth="1"/>
    <col min="6" max="6" width="18.28515625" customWidth="1"/>
    <col min="7" max="7" width="17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7" t="s">
        <v>1</v>
      </c>
      <c r="D2" s="88"/>
      <c r="E2" s="88"/>
      <c r="F2" s="88"/>
      <c r="G2" s="89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8" t="s">
        <v>7</v>
      </c>
      <c r="C4" s="79"/>
      <c r="D4" s="79"/>
      <c r="E4" s="79"/>
      <c r="F4" s="79"/>
      <c r="G4" s="80"/>
    </row>
    <row r="5" spans="1:7" x14ac:dyDescent="0.25">
      <c r="B5" s="74" t="s">
        <v>103</v>
      </c>
      <c r="C5" s="75"/>
      <c r="D5" s="75"/>
      <c r="E5" s="75"/>
      <c r="F5" s="75"/>
      <c r="G5" s="76"/>
    </row>
    <row r="6" spans="1:7" x14ac:dyDescent="0.25">
      <c r="B6" s="4" t="s">
        <v>104</v>
      </c>
      <c r="C6" s="12">
        <v>54986</v>
      </c>
      <c r="D6" s="12">
        <v>8202</v>
      </c>
      <c r="E6" s="12">
        <v>9278</v>
      </c>
      <c r="F6" s="12">
        <v>10442</v>
      </c>
      <c r="G6" s="12">
        <f>+F6+E6+D6+C6</f>
        <v>82908</v>
      </c>
    </row>
    <row r="7" spans="1:7" x14ac:dyDescent="0.25">
      <c r="B7" s="14" t="s">
        <v>105</v>
      </c>
      <c r="C7" s="12">
        <v>524</v>
      </c>
      <c r="D7" s="12">
        <v>230</v>
      </c>
      <c r="E7" s="12">
        <v>12</v>
      </c>
      <c r="F7" s="12">
        <v>130</v>
      </c>
      <c r="G7" s="12">
        <f>+F7+E7+D7+C7</f>
        <v>896</v>
      </c>
    </row>
    <row r="8" spans="1:7" x14ac:dyDescent="0.25">
      <c r="B8" s="18" t="s">
        <v>106</v>
      </c>
      <c r="C8" s="25">
        <v>55510</v>
      </c>
      <c r="D8" s="25">
        <f>+D6+D7</f>
        <v>8432</v>
      </c>
      <c r="E8" s="25">
        <f>SUM(E6:E7)</f>
        <v>9290</v>
      </c>
      <c r="F8" s="25">
        <v>10572</v>
      </c>
      <c r="G8" s="25">
        <f>+F8+E8+D8+C8</f>
        <v>83804</v>
      </c>
    </row>
    <row r="9" spans="1:7" x14ac:dyDescent="0.25">
      <c r="B9" s="69"/>
      <c r="C9" s="69"/>
      <c r="D9" s="69"/>
      <c r="E9" s="69"/>
      <c r="F9" s="69"/>
      <c r="G9" s="69"/>
    </row>
    <row r="10" spans="1:7" x14ac:dyDescent="0.25">
      <c r="B10" s="74" t="s">
        <v>8</v>
      </c>
      <c r="C10" s="75"/>
      <c r="D10" s="75"/>
      <c r="E10" s="75"/>
      <c r="F10" s="75"/>
      <c r="G10" s="76"/>
    </row>
    <row r="11" spans="1:7" x14ac:dyDescent="0.25">
      <c r="B11" s="70" t="s">
        <v>9</v>
      </c>
      <c r="C11" s="71"/>
      <c r="D11" s="71"/>
      <c r="E11" s="71"/>
      <c r="F11" s="71"/>
      <c r="G11" s="72"/>
    </row>
    <row r="12" spans="1:7" x14ac:dyDescent="0.25">
      <c r="B12" s="16" t="s">
        <v>10</v>
      </c>
      <c r="C12" s="17">
        <v>934279</v>
      </c>
      <c r="D12" s="17">
        <v>141274</v>
      </c>
      <c r="E12" s="17">
        <v>57428</v>
      </c>
      <c r="F12" s="17">
        <v>0</v>
      </c>
      <c r="G12" s="17">
        <f>SUM(C12:F12)</f>
        <v>1132981</v>
      </c>
    </row>
    <row r="13" spans="1:7" x14ac:dyDescent="0.25">
      <c r="B13" s="16" t="s">
        <v>11</v>
      </c>
      <c r="C13" s="17">
        <v>2353594</v>
      </c>
      <c r="D13" s="17">
        <v>533022</v>
      </c>
      <c r="E13" s="17">
        <v>235634</v>
      </c>
      <c r="F13" s="17">
        <v>0</v>
      </c>
      <c r="G13" s="17">
        <f>SUM(C13:F13)</f>
        <v>3122250</v>
      </c>
    </row>
    <row r="14" spans="1:7" x14ac:dyDescent="0.25">
      <c r="B14" s="18" t="s">
        <v>12</v>
      </c>
      <c r="C14" s="19">
        <v>3287873</v>
      </c>
      <c r="D14" s="19">
        <v>973730</v>
      </c>
      <c r="E14" s="19">
        <f>SUM(E12:E13)</f>
        <v>293062</v>
      </c>
      <c r="F14" s="19">
        <v>366918</v>
      </c>
      <c r="G14" s="19">
        <f>SUM(C14:F14)</f>
        <v>4921583</v>
      </c>
    </row>
    <row r="15" spans="1:7" x14ac:dyDescent="0.25">
      <c r="B15" s="18" t="s">
        <v>13</v>
      </c>
      <c r="C15" s="19">
        <v>435123</v>
      </c>
      <c r="D15" s="19">
        <v>149432</v>
      </c>
      <c r="E15" s="19">
        <v>2881</v>
      </c>
      <c r="F15" s="19">
        <v>95217</v>
      </c>
      <c r="G15" s="19">
        <f>SUM(C15:F15)</f>
        <v>682653</v>
      </c>
    </row>
    <row r="16" spans="1:7" x14ac:dyDescent="0.25">
      <c r="B16" s="18" t="s">
        <v>14</v>
      </c>
      <c r="C16" s="19">
        <v>3722996</v>
      </c>
      <c r="D16" s="19">
        <f>+D14+D15</f>
        <v>1123162</v>
      </c>
      <c r="E16" s="19">
        <f>SUM(E14:E15)</f>
        <v>295943</v>
      </c>
      <c r="F16" s="19">
        <v>462135</v>
      </c>
      <c r="G16" s="19">
        <f>SUM(C16:F16)</f>
        <v>5604236</v>
      </c>
    </row>
    <row r="17" spans="2:8" x14ac:dyDescent="0.25">
      <c r="B17" s="69"/>
      <c r="C17" s="69"/>
      <c r="D17" s="69"/>
      <c r="E17" s="69"/>
      <c r="F17" s="69"/>
      <c r="G17" s="69"/>
    </row>
    <row r="18" spans="2:8" x14ac:dyDescent="0.25">
      <c r="B18" s="70" t="s">
        <v>15</v>
      </c>
      <c r="C18" s="71"/>
      <c r="D18" s="71"/>
      <c r="E18" s="71"/>
      <c r="F18" s="71"/>
      <c r="G18" s="72"/>
    </row>
    <row r="19" spans="2:8" x14ac:dyDescent="0.25">
      <c r="B19" s="14" t="s">
        <v>16</v>
      </c>
      <c r="C19" s="17">
        <v>3585</v>
      </c>
      <c r="D19" s="28">
        <v>4</v>
      </c>
      <c r="E19" s="20">
        <v>0</v>
      </c>
      <c r="F19" s="20">
        <v>0</v>
      </c>
      <c r="G19" s="20">
        <f>SUM(C19:F19)</f>
        <v>3589</v>
      </c>
    </row>
    <row r="20" spans="2:8" x14ac:dyDescent="0.25">
      <c r="B20" s="90"/>
      <c r="C20" s="90"/>
      <c r="D20" s="90"/>
      <c r="E20" s="90"/>
      <c r="F20" s="90"/>
      <c r="G20" s="90"/>
    </row>
    <row r="21" spans="2:8" x14ac:dyDescent="0.25">
      <c r="B21" s="18" t="s">
        <v>17</v>
      </c>
      <c r="C21" s="19">
        <f>+C19+C16</f>
        <v>3726581</v>
      </c>
      <c r="D21" s="19">
        <v>1123166</v>
      </c>
      <c r="E21" s="19">
        <f>+E19+E16</f>
        <v>295943</v>
      </c>
      <c r="F21" s="19">
        <f>F16</f>
        <v>462135</v>
      </c>
      <c r="G21" s="19">
        <f>SUM(C21:F21)</f>
        <v>5607825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18</v>
      </c>
      <c r="C23" s="9"/>
      <c r="D23" s="9"/>
      <c r="E23" s="9"/>
      <c r="F23" s="9"/>
      <c r="G23" s="10"/>
    </row>
    <row r="24" spans="2:8" x14ac:dyDescent="0.25">
      <c r="B24" s="18" t="s">
        <v>19</v>
      </c>
      <c r="C24" s="19">
        <v>398453</v>
      </c>
      <c r="D24" s="19">
        <v>204970</v>
      </c>
      <c r="E24" s="19">
        <v>131737</v>
      </c>
      <c r="F24" s="19">
        <v>669391</v>
      </c>
      <c r="G24" s="19">
        <f>SUM(C24:F24)</f>
        <v>1404551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20</v>
      </c>
      <c r="C26" s="9"/>
      <c r="D26" s="9"/>
      <c r="E26" s="9"/>
      <c r="F26" s="9"/>
      <c r="G26" s="10"/>
    </row>
    <row r="27" spans="2:8" x14ac:dyDescent="0.25">
      <c r="B27" s="18" t="s">
        <v>21</v>
      </c>
      <c r="C27" s="19">
        <f>+C24+C21</f>
        <v>4125034</v>
      </c>
      <c r="D27" s="19">
        <f>+D24+D21</f>
        <v>1328136</v>
      </c>
      <c r="E27" s="19">
        <f>+E21+E24</f>
        <v>427680</v>
      </c>
      <c r="F27" s="19">
        <f>+F24+F21</f>
        <v>1131526</v>
      </c>
      <c r="G27" s="19">
        <f>SUM(C27:F27)</f>
        <v>7012376</v>
      </c>
    </row>
    <row r="28" spans="2:8" x14ac:dyDescent="0.25">
      <c r="B28" s="69"/>
      <c r="C28" s="69"/>
      <c r="D28" s="69"/>
      <c r="E28" s="69"/>
      <c r="F28" s="69"/>
      <c r="G28" s="69"/>
      <c r="H28" s="69"/>
    </row>
    <row r="29" spans="2:8" x14ac:dyDescent="0.25">
      <c r="B29" s="74" t="s">
        <v>22</v>
      </c>
      <c r="C29" s="75"/>
      <c r="D29" s="75"/>
      <c r="E29" s="75"/>
      <c r="F29" s="75"/>
      <c r="G29" s="76"/>
    </row>
    <row r="30" spans="2:8" x14ac:dyDescent="0.25">
      <c r="B30" s="14" t="s">
        <v>23</v>
      </c>
      <c r="C30" s="28">
        <v>1284834</v>
      </c>
      <c r="D30" s="28">
        <v>218681</v>
      </c>
      <c r="E30" s="28">
        <v>91490</v>
      </c>
      <c r="F30" s="28">
        <v>195493</v>
      </c>
      <c r="G30" s="28">
        <f>SUM(C30:F30)</f>
        <v>1790498</v>
      </c>
    </row>
    <row r="31" spans="2:8" x14ac:dyDescent="0.25">
      <c r="B31" s="69"/>
      <c r="C31" s="69"/>
      <c r="D31" s="69"/>
      <c r="E31" s="69"/>
      <c r="F31" s="69"/>
      <c r="G31" s="69"/>
      <c r="H31" s="69"/>
    </row>
    <row r="32" spans="2:8" x14ac:dyDescent="0.25">
      <c r="B32" s="74" t="s">
        <v>107</v>
      </c>
      <c r="C32" s="75"/>
      <c r="D32" s="75"/>
      <c r="E32" s="75"/>
      <c r="F32" s="75"/>
      <c r="G32" s="76"/>
    </row>
    <row r="33" spans="2:9" x14ac:dyDescent="0.25">
      <c r="B33" s="14" t="s">
        <v>25</v>
      </c>
      <c r="C33" s="28">
        <v>3164390116582</v>
      </c>
      <c r="D33" s="28">
        <v>541508155539</v>
      </c>
      <c r="E33" s="28">
        <v>222232197575</v>
      </c>
      <c r="F33" s="28">
        <v>299313231922</v>
      </c>
      <c r="G33" s="28">
        <f>SUM(C33:F33)</f>
        <v>4227443701618</v>
      </c>
    </row>
    <row r="34" spans="2:9" x14ac:dyDescent="0.25">
      <c r="B34" s="14" t="s">
        <v>26</v>
      </c>
      <c r="C34" s="28">
        <v>133096132705</v>
      </c>
      <c r="D34" s="28">
        <v>62842677062</v>
      </c>
      <c r="E34" s="28">
        <v>32987711700</v>
      </c>
      <c r="F34" s="28">
        <v>122419819198</v>
      </c>
      <c r="G34" s="28">
        <f>SUM(C34:F34)</f>
        <v>351346340665</v>
      </c>
    </row>
    <row r="35" spans="2:9" x14ac:dyDescent="0.25">
      <c r="B35" s="46" t="s">
        <v>27</v>
      </c>
      <c r="C35" s="19">
        <f>SUM(C33:C34)</f>
        <v>3297486249287</v>
      </c>
      <c r="D35" s="19">
        <f>+D34+D33</f>
        <v>604350832601</v>
      </c>
      <c r="E35" s="19">
        <f>+E33+E34</f>
        <v>255219909275</v>
      </c>
      <c r="F35" s="19">
        <v>421733051120</v>
      </c>
      <c r="G35" s="47">
        <f>SUM(C35:F35)</f>
        <v>4578790042283</v>
      </c>
    </row>
    <row r="36" spans="2:9" x14ac:dyDescent="0.25">
      <c r="B36" s="85" t="s">
        <v>108</v>
      </c>
      <c r="C36" s="85"/>
      <c r="D36" s="85"/>
      <c r="E36" s="85"/>
      <c r="F36" s="85"/>
      <c r="G36" s="85"/>
      <c r="H36"/>
    </row>
    <row r="37" spans="2:9" x14ac:dyDescent="0.25">
      <c r="B37" s="45"/>
      <c r="C37" s="45"/>
      <c r="D37" s="45"/>
      <c r="E37" s="45"/>
      <c r="F37" s="45"/>
      <c r="G37" s="45"/>
      <c r="H37" s="45"/>
    </row>
    <row r="38" spans="2:9" ht="21" x14ac:dyDescent="0.35">
      <c r="B38" s="78" t="s">
        <v>28</v>
      </c>
      <c r="C38" s="79"/>
      <c r="D38" s="79"/>
      <c r="E38" s="79"/>
      <c r="F38" s="79"/>
      <c r="G38" s="80"/>
    </row>
    <row r="39" spans="2:9" x14ac:dyDescent="0.25">
      <c r="B39" s="74" t="s">
        <v>29</v>
      </c>
      <c r="C39" s="75"/>
      <c r="D39" s="75"/>
      <c r="E39" s="75"/>
      <c r="F39" s="75"/>
      <c r="G39" s="76"/>
    </row>
    <row r="40" spans="2:9" x14ac:dyDescent="0.25">
      <c r="B40" s="14" t="s">
        <v>30</v>
      </c>
      <c r="C40" s="51">
        <v>537026</v>
      </c>
      <c r="D40" s="28">
        <v>132673</v>
      </c>
      <c r="E40" s="28">
        <v>52700</v>
      </c>
      <c r="F40" s="28">
        <v>55144</v>
      </c>
      <c r="G40" s="28">
        <f>SUM(C40:F40)</f>
        <v>777543</v>
      </c>
      <c r="H40" s="7"/>
      <c r="I40" s="7"/>
    </row>
    <row r="41" spans="2:9" x14ac:dyDescent="0.25">
      <c r="B41" s="14" t="s">
        <v>31</v>
      </c>
      <c r="C41" s="28">
        <f>2496869994/1000000</f>
        <v>2496.8699940000001</v>
      </c>
      <c r="D41" s="28">
        <v>783.86064799999997</v>
      </c>
      <c r="E41" s="28">
        <v>337</v>
      </c>
      <c r="F41" s="12">
        <v>334.67397</v>
      </c>
      <c r="G41" s="11">
        <f>SUM(C41:F41)</f>
        <v>3952.4046119999998</v>
      </c>
      <c r="H41" s="7"/>
      <c r="I41" s="7"/>
    </row>
    <row r="42" spans="2:9" x14ac:dyDescent="0.25">
      <c r="B42" s="69"/>
      <c r="C42" s="69"/>
      <c r="D42" s="69"/>
      <c r="E42" s="69"/>
      <c r="F42" s="69"/>
      <c r="G42" s="69"/>
      <c r="H42" s="69"/>
      <c r="I42" s="7"/>
    </row>
    <row r="43" spans="2:9" x14ac:dyDescent="0.25">
      <c r="B43" s="68" t="s">
        <v>109</v>
      </c>
      <c r="C43" s="68"/>
      <c r="D43" s="68"/>
      <c r="E43" s="68"/>
      <c r="F43" s="68"/>
      <c r="G43" s="68"/>
      <c r="I43" s="7"/>
    </row>
    <row r="44" spans="2:9" x14ac:dyDescent="0.25">
      <c r="B44" s="14" t="s">
        <v>111</v>
      </c>
      <c r="C44">
        <v>3</v>
      </c>
      <c r="D44" s="28">
        <v>2</v>
      </c>
      <c r="E44" s="28">
        <v>1</v>
      </c>
      <c r="F44" s="28">
        <v>2</v>
      </c>
      <c r="G44" s="28">
        <f>SUM(C44:F44)</f>
        <v>8</v>
      </c>
      <c r="H44" s="7"/>
      <c r="I44" s="7"/>
    </row>
    <row r="45" spans="2:9" x14ac:dyDescent="0.25">
      <c r="B45" s="14" t="s">
        <v>112</v>
      </c>
      <c r="C45" s="28">
        <f>4817832/1000000</f>
        <v>4.8178320000000001</v>
      </c>
      <c r="D45" s="28">
        <v>1.5604E-2</v>
      </c>
      <c r="E45" s="28">
        <v>0.1</v>
      </c>
      <c r="F45" s="28">
        <v>0.121561</v>
      </c>
      <c r="G45" s="11">
        <f>SUM(C45:F45)</f>
        <v>5.0549969999999993</v>
      </c>
      <c r="H45" s="7"/>
      <c r="I45" s="7"/>
    </row>
    <row r="46" spans="2:9" x14ac:dyDescent="0.25">
      <c r="B46" s="69"/>
      <c r="C46" s="69"/>
      <c r="D46" s="69"/>
      <c r="E46" s="69"/>
      <c r="F46" s="69"/>
      <c r="G46" s="69"/>
      <c r="H46" s="69"/>
      <c r="I46" s="7"/>
    </row>
    <row r="47" spans="2:9" x14ac:dyDescent="0.25">
      <c r="B47" s="68" t="s">
        <v>110</v>
      </c>
      <c r="C47" s="68"/>
      <c r="D47" s="68"/>
      <c r="E47" s="68"/>
      <c r="F47" s="68"/>
      <c r="G47" s="68"/>
      <c r="I47" s="7"/>
    </row>
    <row r="48" spans="2:9" x14ac:dyDescent="0.25">
      <c r="B48" s="14" t="s">
        <v>113</v>
      </c>
      <c r="C48" s="28">
        <v>159914</v>
      </c>
      <c r="D48" s="28">
        <v>92073</v>
      </c>
      <c r="E48" s="28">
        <v>18263</v>
      </c>
      <c r="F48" s="28">
        <v>69636</v>
      </c>
      <c r="G48" s="28">
        <f>SUM(C48:F48)</f>
        <v>339886</v>
      </c>
      <c r="H48" s="7"/>
      <c r="I48" s="7"/>
    </row>
    <row r="49" spans="2:9" x14ac:dyDescent="0.25">
      <c r="B49" s="14" t="s">
        <v>114</v>
      </c>
      <c r="C49" s="28">
        <f>( 73401617322
+ 1276507897)/1000000</f>
        <v>74678.125218999994</v>
      </c>
      <c r="D49" s="28">
        <v>26615.206397999998</v>
      </c>
      <c r="E49" s="28">
        <v>10465.444761000001</v>
      </c>
      <c r="F49" s="12">
        <v>10371.687357999999</v>
      </c>
      <c r="G49" s="11">
        <f>SUM(C49:F49)</f>
        <v>122130.46373599999</v>
      </c>
      <c r="H49" s="7"/>
      <c r="I49" s="7"/>
    </row>
    <row r="50" spans="2:9" x14ac:dyDescent="0.25">
      <c r="B50" s="69"/>
      <c r="C50" s="69"/>
      <c r="D50" s="69"/>
      <c r="E50" s="69"/>
      <c r="F50" s="69"/>
      <c r="G50" s="69"/>
      <c r="H50" s="69"/>
    </row>
    <row r="51" spans="2:9" ht="21" x14ac:dyDescent="0.35">
      <c r="B51" s="78" t="s">
        <v>38</v>
      </c>
      <c r="C51" s="79"/>
      <c r="D51" s="79"/>
      <c r="E51" s="79"/>
      <c r="F51" s="79"/>
      <c r="G51" s="80"/>
    </row>
    <row r="52" spans="2:9" x14ac:dyDescent="0.25">
      <c r="B52" s="86"/>
      <c r="C52" s="86"/>
      <c r="D52" s="86"/>
      <c r="E52" s="86"/>
      <c r="F52" s="86"/>
      <c r="G52" s="86"/>
      <c r="H52" s="86"/>
    </row>
    <row r="53" spans="2:9" x14ac:dyDescent="0.25">
      <c r="B53" s="68" t="s">
        <v>39</v>
      </c>
      <c r="C53" s="68"/>
      <c r="D53" s="68"/>
      <c r="E53" s="68"/>
      <c r="F53" s="68"/>
      <c r="G53" s="68"/>
    </row>
    <row r="54" spans="2:9" x14ac:dyDescent="0.25">
      <c r="B54" s="73" t="s">
        <v>40</v>
      </c>
      <c r="C54" s="73"/>
      <c r="D54" s="73"/>
      <c r="E54" s="73"/>
      <c r="F54" s="73"/>
      <c r="G54" s="73"/>
    </row>
    <row r="55" spans="2:9" x14ac:dyDescent="0.25">
      <c r="B55" s="14" t="s">
        <v>41</v>
      </c>
      <c r="C55" s="12">
        <v>73699</v>
      </c>
      <c r="D55" s="12">
        <v>4439</v>
      </c>
      <c r="E55" s="29">
        <v>1580</v>
      </c>
      <c r="F55" s="12">
        <v>3521</v>
      </c>
      <c r="G55" s="28">
        <f t="shared" ref="G55:G71" si="0">SUM(C55:F55)</f>
        <v>83239</v>
      </c>
    </row>
    <row r="56" spans="2:9" x14ac:dyDescent="0.25">
      <c r="B56" s="14" t="s">
        <v>42</v>
      </c>
      <c r="C56" s="12">
        <v>75998.859293999994</v>
      </c>
      <c r="D56" s="12">
        <v>7005.2446550000004</v>
      </c>
      <c r="E56" s="29">
        <v>2668.147856</v>
      </c>
      <c r="F56" s="12">
        <v>8916</v>
      </c>
      <c r="G56" s="28">
        <f t="shared" si="0"/>
        <v>94588.251804999993</v>
      </c>
    </row>
    <row r="57" spans="2:9" x14ac:dyDescent="0.25">
      <c r="B57" s="14" t="s">
        <v>43</v>
      </c>
      <c r="C57" s="12">
        <v>17.2834366816375</v>
      </c>
      <c r="D57" s="12">
        <v>41.743998402260907</v>
      </c>
      <c r="E57" s="49">
        <v>28</v>
      </c>
      <c r="F57" s="12">
        <v>33</v>
      </c>
      <c r="G57" s="28">
        <f>AVERAGE(C57:F57)</f>
        <v>30.006858770974603</v>
      </c>
    </row>
    <row r="58" spans="2:9" x14ac:dyDescent="0.25">
      <c r="B58" s="14" t="s">
        <v>44</v>
      </c>
      <c r="C58" s="12">
        <v>752710</v>
      </c>
      <c r="D58" s="12">
        <v>145759</v>
      </c>
      <c r="E58" s="29">
        <v>48215</v>
      </c>
      <c r="F58" s="12">
        <v>63014</v>
      </c>
      <c r="G58" s="28">
        <f t="shared" si="0"/>
        <v>1009698</v>
      </c>
    </row>
    <row r="59" spans="2:9" x14ac:dyDescent="0.25">
      <c r="B59" s="14" t="s">
        <v>115</v>
      </c>
      <c r="C59" s="12">
        <v>1545063.280724</v>
      </c>
      <c r="D59" s="12">
        <v>287825.928327</v>
      </c>
      <c r="E59" s="50">
        <v>100527.093978</v>
      </c>
      <c r="F59" s="12">
        <v>124553</v>
      </c>
      <c r="G59" s="11">
        <f t="shared" si="0"/>
        <v>2057969.3030290001</v>
      </c>
    </row>
    <row r="60" spans="2:9" x14ac:dyDescent="0.25">
      <c r="B60" s="73" t="s">
        <v>45</v>
      </c>
      <c r="C60" s="73"/>
      <c r="D60" s="73"/>
      <c r="E60" s="73"/>
      <c r="F60" s="73"/>
      <c r="G60" s="73"/>
    </row>
    <row r="61" spans="2:9" x14ac:dyDescent="0.25">
      <c r="B61" s="14" t="s">
        <v>41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42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43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44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115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3" t="s">
        <v>46</v>
      </c>
      <c r="C66" s="73"/>
      <c r="D66" s="73"/>
      <c r="E66" s="73"/>
      <c r="F66" s="73"/>
      <c r="G66" s="73"/>
    </row>
    <row r="67" spans="2:8" x14ac:dyDescent="0.25">
      <c r="B67" s="14" t="s">
        <v>41</v>
      </c>
      <c r="C67" s="29">
        <v>6703</v>
      </c>
      <c r="D67" s="29">
        <v>1943</v>
      </c>
      <c r="E67" s="29">
        <v>927</v>
      </c>
      <c r="F67" s="29">
        <v>13126</v>
      </c>
      <c r="G67" s="28">
        <f t="shared" si="0"/>
        <v>22699</v>
      </c>
    </row>
    <row r="68" spans="2:8" x14ac:dyDescent="0.25">
      <c r="B68" s="14" t="s">
        <v>42</v>
      </c>
      <c r="C68" s="29">
        <v>5735.2252570000001</v>
      </c>
      <c r="D68" s="29">
        <v>1887.210951</v>
      </c>
      <c r="E68" s="29">
        <v>910.02967000000001</v>
      </c>
      <c r="F68" s="29">
        <v>16158</v>
      </c>
      <c r="G68" s="28">
        <f t="shared" si="0"/>
        <v>24690.465878000003</v>
      </c>
    </row>
    <row r="69" spans="2:8" x14ac:dyDescent="0.25">
      <c r="B69" s="14" t="s">
        <v>43</v>
      </c>
      <c r="C69" s="29">
        <v>41.423989258540999</v>
      </c>
      <c r="D69" s="29">
        <v>55.793864428243708</v>
      </c>
      <c r="E69" s="29">
        <v>51</v>
      </c>
      <c r="F69" s="29">
        <v>43</v>
      </c>
      <c r="G69" s="28">
        <f>AVERAGE(C69:F69)</f>
        <v>47.804463421696177</v>
      </c>
    </row>
    <row r="70" spans="2:8" x14ac:dyDescent="0.25">
      <c r="B70" s="14" t="s">
        <v>44</v>
      </c>
      <c r="C70" s="29">
        <v>102924</v>
      </c>
      <c r="D70" s="29">
        <v>82871</v>
      </c>
      <c r="E70" s="29">
        <v>53498</v>
      </c>
      <c r="F70" s="29">
        <v>229267</v>
      </c>
      <c r="G70" s="28">
        <f t="shared" si="0"/>
        <v>468560</v>
      </c>
    </row>
    <row r="71" spans="2:8" x14ac:dyDescent="0.25">
      <c r="B71" s="14" t="s">
        <v>115</v>
      </c>
      <c r="C71" s="29">
        <v>90264.974497000003</v>
      </c>
      <c r="D71" s="29">
        <v>78602.040674000003</v>
      </c>
      <c r="E71" s="29">
        <v>50051.975317999997</v>
      </c>
      <c r="F71" s="29">
        <v>178231</v>
      </c>
      <c r="G71" s="11">
        <f t="shared" si="0"/>
        <v>397149.99048899999</v>
      </c>
    </row>
    <row r="72" spans="2:8" x14ac:dyDescent="0.25">
      <c r="B72" s="82" t="s">
        <v>47</v>
      </c>
      <c r="C72" s="83"/>
      <c r="D72" s="83"/>
      <c r="E72" s="83"/>
      <c r="F72" s="83"/>
      <c r="G72" s="84"/>
    </row>
    <row r="73" spans="2:8" x14ac:dyDescent="0.25">
      <c r="B73" s="18" t="s">
        <v>116</v>
      </c>
      <c r="C73" s="19">
        <f>+C55+C67</f>
        <v>80402</v>
      </c>
      <c r="D73" s="19">
        <f>+D67+D61+D55</f>
        <v>6382</v>
      </c>
      <c r="E73" s="19">
        <f t="shared" ref="E73:E74" si="1">+E67+E61+E55</f>
        <v>2507</v>
      </c>
      <c r="F73" s="19">
        <f>+F55+F67</f>
        <v>16647</v>
      </c>
      <c r="G73" s="19">
        <f>SUM(C73:F73)</f>
        <v>105938</v>
      </c>
    </row>
    <row r="74" spans="2:8" x14ac:dyDescent="0.25">
      <c r="B74" s="18" t="s">
        <v>42</v>
      </c>
      <c r="C74" s="19">
        <f>+C56+C68</f>
        <v>81734.084550999993</v>
      </c>
      <c r="D74" s="19">
        <f t="shared" ref="D74:D76" si="2">+D68+D62+D56</f>
        <v>8892.4556059999995</v>
      </c>
      <c r="E74" s="19">
        <f t="shared" si="1"/>
        <v>3578.1775259999999</v>
      </c>
      <c r="F74" s="19">
        <f>+F56+F68</f>
        <v>25074</v>
      </c>
      <c r="G74" s="22">
        <f>SUM(C74:F74)</f>
        <v>119278.717683</v>
      </c>
    </row>
    <row r="75" spans="2:8" x14ac:dyDescent="0.25">
      <c r="B75" s="18" t="s">
        <v>43</v>
      </c>
      <c r="C75" s="19">
        <v>19.604778609174801</v>
      </c>
      <c r="D75" s="19">
        <f>(+D57+D63+D69)/3</f>
        <v>32.512620943501538</v>
      </c>
      <c r="E75" s="19">
        <v>35</v>
      </c>
      <c r="F75" s="19">
        <f>(F57+F69)/2</f>
        <v>38</v>
      </c>
      <c r="G75" s="19">
        <f>AVERAGE(C75:F75)</f>
        <v>31.279349888169087</v>
      </c>
    </row>
    <row r="76" spans="2:8" x14ac:dyDescent="0.25">
      <c r="B76" s="18" t="s">
        <v>44</v>
      </c>
      <c r="C76" s="19">
        <f>+C58+C70</f>
        <v>855634</v>
      </c>
      <c r="D76" s="19">
        <f t="shared" si="2"/>
        <v>228630</v>
      </c>
      <c r="E76" s="19">
        <f t="shared" ref="E76:E77" si="3">+E70+E64+E58</f>
        <v>101713</v>
      </c>
      <c r="F76" s="19">
        <f>+F58+F70</f>
        <v>292281</v>
      </c>
      <c r="G76" s="19">
        <f>SUM(C76:F76)</f>
        <v>1478258</v>
      </c>
    </row>
    <row r="77" spans="2:8" x14ac:dyDescent="0.25">
      <c r="B77" s="18" t="s">
        <v>115</v>
      </c>
      <c r="C77" s="19">
        <f>+C59+C71</f>
        <v>1635328.2552209999</v>
      </c>
      <c r="D77" s="19">
        <f>+D71+D65+D59</f>
        <v>366427.96900099999</v>
      </c>
      <c r="E77" s="19">
        <f t="shared" si="3"/>
        <v>150579.069296</v>
      </c>
      <c r="F77" s="19">
        <f>+F59+F71</f>
        <v>302784</v>
      </c>
      <c r="G77" s="22">
        <f>SUM(C77:F77)</f>
        <v>2455119.2935179998</v>
      </c>
    </row>
    <row r="78" spans="2:8" x14ac:dyDescent="0.25">
      <c r="B78" s="69"/>
      <c r="C78" s="69"/>
      <c r="D78" s="69"/>
      <c r="E78" s="69"/>
      <c r="F78" s="69"/>
      <c r="G78" s="69"/>
      <c r="H78" s="69"/>
    </row>
    <row r="79" spans="2:8" x14ac:dyDescent="0.25">
      <c r="B79" s="74" t="s">
        <v>48</v>
      </c>
      <c r="C79" s="75"/>
      <c r="D79" s="75"/>
      <c r="E79" s="75"/>
      <c r="F79" s="75"/>
      <c r="G79" s="76"/>
    </row>
    <row r="80" spans="2:8" x14ac:dyDescent="0.25">
      <c r="B80" s="70" t="s">
        <v>40</v>
      </c>
      <c r="C80" s="71"/>
      <c r="D80" s="71"/>
      <c r="E80" s="71"/>
      <c r="F80" s="71"/>
      <c r="G80" s="72"/>
    </row>
    <row r="81" spans="2:7" x14ac:dyDescent="0.25">
      <c r="B81" s="14" t="s">
        <v>41</v>
      </c>
      <c r="C81" s="24">
        <v>0</v>
      </c>
      <c r="D81" s="14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42</v>
      </c>
      <c r="C82" s="24">
        <v>0</v>
      </c>
      <c r="D82" s="14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43</v>
      </c>
      <c r="C83" s="24">
        <v>0</v>
      </c>
      <c r="D83" s="14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44</v>
      </c>
      <c r="C84" s="24">
        <v>1051</v>
      </c>
      <c r="D84" s="24">
        <v>128</v>
      </c>
      <c r="E84" s="24">
        <v>6</v>
      </c>
      <c r="F84" s="24">
        <v>107</v>
      </c>
      <c r="G84" s="24">
        <f>SUM(C84:F84)</f>
        <v>1292</v>
      </c>
    </row>
    <row r="85" spans="2:7" x14ac:dyDescent="0.25">
      <c r="B85" s="14" t="s">
        <v>115</v>
      </c>
      <c r="C85" s="24">
        <v>21351.482174000001</v>
      </c>
      <c r="D85" s="24">
        <v>1502</v>
      </c>
      <c r="E85" s="24">
        <v>76</v>
      </c>
      <c r="F85" s="28">
        <v>1874.7322340000001</v>
      </c>
      <c r="G85" s="11">
        <f>SUM(C85:F85)</f>
        <v>24804.214408</v>
      </c>
    </row>
    <row r="86" spans="2:7" x14ac:dyDescent="0.25">
      <c r="B86" s="70" t="s">
        <v>45</v>
      </c>
      <c r="C86" s="71"/>
      <c r="D86" s="71"/>
      <c r="E86" s="71"/>
      <c r="F86" s="71"/>
      <c r="G86" s="72"/>
    </row>
    <row r="87" spans="2:7" x14ac:dyDescent="0.25">
      <c r="B87" s="14" t="s">
        <v>41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42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43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44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115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0" t="s">
        <v>46</v>
      </c>
      <c r="C92" s="71"/>
      <c r="D92" s="71"/>
      <c r="E92" s="71"/>
      <c r="F92" s="71"/>
      <c r="G92" s="72"/>
    </row>
    <row r="93" spans="2:7" x14ac:dyDescent="0.25">
      <c r="B93" s="14" t="s">
        <v>41</v>
      </c>
      <c r="C93" s="28">
        <v>0</v>
      </c>
      <c r="D93" s="20">
        <v>0</v>
      </c>
      <c r="E93" s="20">
        <v>0</v>
      </c>
      <c r="F93" s="24">
        <v>0</v>
      </c>
      <c r="G93" s="28">
        <f>SUM(C93:F93)</f>
        <v>0</v>
      </c>
    </row>
    <row r="94" spans="2:7" x14ac:dyDescent="0.25">
      <c r="B94" s="14" t="s">
        <v>42</v>
      </c>
      <c r="C94" s="28">
        <v>0</v>
      </c>
      <c r="D94" s="20">
        <v>0</v>
      </c>
      <c r="E94" s="20">
        <v>0</v>
      </c>
      <c r="F94" s="24">
        <v>0</v>
      </c>
      <c r="G94" s="28">
        <f>SUM(C94:F94)</f>
        <v>0</v>
      </c>
    </row>
    <row r="95" spans="2:7" x14ac:dyDescent="0.25">
      <c r="B95" s="14" t="s">
        <v>43</v>
      </c>
      <c r="C95" s="29">
        <v>0</v>
      </c>
      <c r="D95" s="20">
        <v>0</v>
      </c>
      <c r="E95" s="20">
        <v>0</v>
      </c>
      <c r="F95" s="24">
        <v>0</v>
      </c>
      <c r="G95" s="28">
        <f>AVERAGE(C95:F95)</f>
        <v>0</v>
      </c>
    </row>
    <row r="96" spans="2:7" x14ac:dyDescent="0.25">
      <c r="B96" s="14" t="s">
        <v>44</v>
      </c>
      <c r="C96" s="24">
        <v>12</v>
      </c>
      <c r="D96" s="20">
        <v>0</v>
      </c>
      <c r="E96" s="33">
        <v>0</v>
      </c>
      <c r="F96" s="24">
        <v>7</v>
      </c>
      <c r="G96" s="28">
        <f>SUM(C96:F96)</f>
        <v>19</v>
      </c>
    </row>
    <row r="97" spans="2:8" x14ac:dyDescent="0.25">
      <c r="B97" s="14" t="s">
        <v>115</v>
      </c>
      <c r="C97" s="24">
        <v>183.124031</v>
      </c>
      <c r="D97" s="20">
        <v>0</v>
      </c>
      <c r="E97" s="33">
        <v>0</v>
      </c>
      <c r="F97" s="24">
        <v>89.372350999999995</v>
      </c>
      <c r="G97" s="11">
        <f>SUM(C97:F97)</f>
        <v>272.49638199999998</v>
      </c>
    </row>
    <row r="98" spans="2:8" x14ac:dyDescent="0.25">
      <c r="B98" s="82" t="s">
        <v>49</v>
      </c>
      <c r="C98" s="83"/>
      <c r="D98" s="83"/>
      <c r="E98" s="83"/>
      <c r="F98" s="83"/>
      <c r="G98" s="84"/>
    </row>
    <row r="99" spans="2:8" x14ac:dyDescent="0.25">
      <c r="B99" s="18" t="s">
        <v>41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42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43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44</v>
      </c>
      <c r="C102" s="19">
        <f>+C96+C84</f>
        <v>1063</v>
      </c>
      <c r="D102" s="19">
        <f t="shared" ref="D102:D103" si="4">+D96+D90+D84</f>
        <v>128</v>
      </c>
      <c r="E102" s="19">
        <f>+E84</f>
        <v>6</v>
      </c>
      <c r="F102" s="27">
        <v>0</v>
      </c>
      <c r="G102" s="19">
        <f>SUM(C102:F102)</f>
        <v>1197</v>
      </c>
    </row>
    <row r="103" spans="2:8" x14ac:dyDescent="0.25">
      <c r="B103" s="18" t="s">
        <v>115</v>
      </c>
      <c r="C103" s="19">
        <f>+C97+C85</f>
        <v>21534.606205</v>
      </c>
      <c r="D103" s="19">
        <f t="shared" si="4"/>
        <v>1502</v>
      </c>
      <c r="E103" s="19">
        <f>+E85</f>
        <v>76</v>
      </c>
      <c r="F103" s="19">
        <v>0</v>
      </c>
      <c r="G103" s="22">
        <f>SUM(C103:F103)</f>
        <v>23112.606205</v>
      </c>
    </row>
    <row r="104" spans="2:8" x14ac:dyDescent="0.25">
      <c r="B104" s="69"/>
      <c r="C104" s="69"/>
      <c r="D104" s="69"/>
      <c r="E104" s="69"/>
      <c r="F104" s="69"/>
      <c r="G104" s="69"/>
      <c r="H104" s="69"/>
    </row>
    <row r="105" spans="2:8" x14ac:dyDescent="0.25">
      <c r="B105" s="68" t="s">
        <v>50</v>
      </c>
      <c r="C105" s="68"/>
      <c r="D105" s="68"/>
      <c r="E105" s="68"/>
      <c r="F105" s="68"/>
      <c r="G105" s="68"/>
    </row>
    <row r="106" spans="2:8" x14ac:dyDescent="0.25">
      <c r="B106" s="73" t="s">
        <v>51</v>
      </c>
      <c r="C106" s="73"/>
      <c r="D106" s="73"/>
      <c r="E106" s="73"/>
      <c r="F106" s="73"/>
      <c r="G106" s="73"/>
    </row>
    <row r="107" spans="2:8" x14ac:dyDescent="0.25">
      <c r="B107" s="14" t="s">
        <v>52</v>
      </c>
      <c r="C107" s="11">
        <v>1.92593616409599</v>
      </c>
      <c r="D107" s="13">
        <v>2.8258088235294276</v>
      </c>
      <c r="E107" s="31">
        <v>2.4900000000000002</v>
      </c>
      <c r="F107" s="31">
        <v>2.4500000000000002</v>
      </c>
      <c r="G107" s="13">
        <f>AVERAGE(C107:F107)</f>
        <v>2.4229362469063545</v>
      </c>
    </row>
    <row r="108" spans="2:8" x14ac:dyDescent="0.25">
      <c r="B108" s="14" t="s">
        <v>53</v>
      </c>
      <c r="C108" s="11">
        <v>1.7624535664117509</v>
      </c>
      <c r="D108" s="13">
        <v>2.6987849331713227</v>
      </c>
      <c r="E108" s="32">
        <v>2.4900000000000002</v>
      </c>
      <c r="F108" s="31">
        <v>2.5499999999999998</v>
      </c>
      <c r="G108" s="13">
        <f>AVERAGE(C108:F108)</f>
        <v>2.3753096248957686</v>
      </c>
    </row>
    <row r="109" spans="2:8" x14ac:dyDescent="0.25">
      <c r="B109" s="14" t="s">
        <v>54</v>
      </c>
      <c r="C109" s="38">
        <v>1.6510068228677677</v>
      </c>
      <c r="D109" s="13">
        <v>2.6243540183112688</v>
      </c>
      <c r="E109" s="31">
        <v>2.61</v>
      </c>
      <c r="F109" s="31">
        <v>2.4500000000000002</v>
      </c>
      <c r="G109" s="13">
        <f>AVERAGE(C109:F109)</f>
        <v>2.3338402102947589</v>
      </c>
    </row>
    <row r="110" spans="2:8" x14ac:dyDescent="0.25">
      <c r="B110" s="73" t="s">
        <v>55</v>
      </c>
      <c r="C110" s="73"/>
      <c r="D110" s="73"/>
      <c r="E110" s="73"/>
      <c r="F110" s="73"/>
      <c r="G110" s="73"/>
    </row>
    <row r="111" spans="2:8" x14ac:dyDescent="0.25">
      <c r="B111" s="14" t="s">
        <v>52</v>
      </c>
      <c r="C111" s="13">
        <v>1.1199999999999994</v>
      </c>
      <c r="D111" s="13">
        <v>2.16</v>
      </c>
      <c r="E111" s="31">
        <v>1.8</v>
      </c>
      <c r="F111" s="13">
        <v>1.19</v>
      </c>
      <c r="G111" s="13">
        <f>AVERAGE(C111:F111)</f>
        <v>1.5674999999999999</v>
      </c>
    </row>
    <row r="112" spans="2:8" x14ac:dyDescent="0.25">
      <c r="B112" s="14" t="s">
        <v>53</v>
      </c>
      <c r="C112" s="13">
        <v>1.1800000000000057</v>
      </c>
      <c r="D112" s="13">
        <v>2.1599999999999988</v>
      </c>
      <c r="E112" s="31">
        <v>1.95</v>
      </c>
      <c r="F112" s="32">
        <v>1.88</v>
      </c>
      <c r="G112" s="13">
        <f>AVERAGE(C112:F112)</f>
        <v>1.7925000000000011</v>
      </c>
    </row>
    <row r="113" spans="2:9" x14ac:dyDescent="0.25">
      <c r="B113" s="14" t="s">
        <v>54</v>
      </c>
      <c r="C113" s="13">
        <v>1.2296457938013989</v>
      </c>
      <c r="D113" s="13">
        <v>2.1600000000000095</v>
      </c>
      <c r="E113" s="31">
        <v>2.08</v>
      </c>
      <c r="F113" s="13">
        <v>2.04</v>
      </c>
      <c r="G113" s="13">
        <f>AVERAGE(C113:F113)</f>
        <v>1.8774114484503521</v>
      </c>
    </row>
    <row r="114" spans="2:9" x14ac:dyDescent="0.25">
      <c r="B114" s="69"/>
      <c r="C114" s="69"/>
      <c r="D114" s="69"/>
      <c r="E114" s="69"/>
      <c r="F114" s="69"/>
      <c r="G114" s="69"/>
      <c r="H114" s="69"/>
      <c r="I114" s="69"/>
    </row>
    <row r="115" spans="2:9" x14ac:dyDescent="0.25">
      <c r="B115" s="73" t="s">
        <v>56</v>
      </c>
      <c r="C115" s="73"/>
      <c r="D115" s="73"/>
      <c r="E115" s="73"/>
      <c r="F115" s="73"/>
      <c r="G115" s="73"/>
    </row>
    <row r="116" spans="2:9" x14ac:dyDescent="0.25">
      <c r="B116" s="14" t="s">
        <v>52</v>
      </c>
      <c r="C116" s="13">
        <v>1.3532282913165463</v>
      </c>
      <c r="D116" s="13">
        <v>1.9517582417582406</v>
      </c>
      <c r="E116" s="32">
        <v>1.78</v>
      </c>
      <c r="F116" s="32">
        <v>1.77</v>
      </c>
      <c r="G116" s="13">
        <f>AVERAGE(C116:F116)</f>
        <v>1.7137466332686966</v>
      </c>
    </row>
    <row r="117" spans="2:9" x14ac:dyDescent="0.25">
      <c r="B117" s="14" t="s">
        <v>53</v>
      </c>
      <c r="C117" s="13">
        <v>1.4413578394598865</v>
      </c>
      <c r="D117" s="13">
        <v>1.9483606557377029</v>
      </c>
      <c r="E117" s="32">
        <v>1.87</v>
      </c>
      <c r="F117" s="32">
        <v>1.77</v>
      </c>
      <c r="G117" s="13">
        <f>AVERAGE(C117:F117)</f>
        <v>1.7574296237993972</v>
      </c>
    </row>
    <row r="118" spans="2:9" x14ac:dyDescent="0.25">
      <c r="B118" s="14" t="s">
        <v>54</v>
      </c>
      <c r="C118" s="13">
        <v>1.4477901665771213</v>
      </c>
      <c r="D118" s="13">
        <v>1.9525270546944529</v>
      </c>
      <c r="E118" s="32">
        <v>1.88</v>
      </c>
      <c r="F118" s="32">
        <v>1.79</v>
      </c>
      <c r="G118" s="13">
        <f>AVERAGE(C118:F118)</f>
        <v>1.7675793053178934</v>
      </c>
    </row>
    <row r="119" spans="2:9" x14ac:dyDescent="0.25">
      <c r="B119" s="70" t="s">
        <v>57</v>
      </c>
      <c r="C119" s="71"/>
      <c r="D119" s="71"/>
      <c r="E119" s="71"/>
      <c r="F119" s="71"/>
      <c r="G119" s="72"/>
    </row>
    <row r="120" spans="2:9" x14ac:dyDescent="0.25">
      <c r="B120" s="14" t="s">
        <v>52</v>
      </c>
      <c r="C120" s="13">
        <v>0</v>
      </c>
      <c r="D120" s="13">
        <v>1.43</v>
      </c>
      <c r="E120" s="31">
        <v>0</v>
      </c>
      <c r="F120" s="31">
        <v>0.39</v>
      </c>
      <c r="G120" s="13">
        <f>AVERAGE(C120:F120)</f>
        <v>0.45499999999999996</v>
      </c>
    </row>
    <row r="121" spans="2:9" x14ac:dyDescent="0.25">
      <c r="B121" s="14" t="s">
        <v>53</v>
      </c>
      <c r="C121" s="13">
        <v>1.1499999999999999</v>
      </c>
      <c r="D121" s="13">
        <v>1.43</v>
      </c>
      <c r="E121" s="31">
        <v>0</v>
      </c>
      <c r="F121" s="13">
        <v>1.34</v>
      </c>
      <c r="G121" s="13">
        <f>AVERAGE(C121:F121)</f>
        <v>0.98</v>
      </c>
    </row>
    <row r="122" spans="2:9" x14ac:dyDescent="0.25">
      <c r="B122" s="14" t="s">
        <v>54</v>
      </c>
      <c r="C122" s="13">
        <v>1.1999999999999995</v>
      </c>
      <c r="D122" s="13">
        <v>1.43</v>
      </c>
      <c r="E122" s="31">
        <v>1.32</v>
      </c>
      <c r="F122" s="13">
        <v>1.36</v>
      </c>
      <c r="G122" s="13">
        <f>AVERAGE(C122:F122)</f>
        <v>1.3274999999999999</v>
      </c>
    </row>
    <row r="123" spans="2:9" x14ac:dyDescent="0.25">
      <c r="B123" s="69"/>
      <c r="C123" s="69"/>
      <c r="D123" s="69"/>
      <c r="E123" s="69"/>
      <c r="F123" s="69"/>
      <c r="G123" s="69"/>
      <c r="H123" s="69"/>
    </row>
    <row r="124" spans="2:9" x14ac:dyDescent="0.25">
      <c r="B124" s="74" t="s">
        <v>58</v>
      </c>
      <c r="C124" s="75"/>
      <c r="D124" s="75"/>
      <c r="E124" s="75"/>
      <c r="F124" s="75"/>
      <c r="G124" s="76"/>
    </row>
    <row r="125" spans="2:9" x14ac:dyDescent="0.25">
      <c r="B125" s="2" t="s">
        <v>59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4" t="s">
        <v>60</v>
      </c>
      <c r="C126" s="75"/>
      <c r="D126" s="75"/>
      <c r="E126" s="75"/>
      <c r="F126" s="75"/>
      <c r="G126" s="76"/>
    </row>
    <row r="127" spans="2:9" x14ac:dyDescent="0.25">
      <c r="B127" s="3" t="s">
        <v>61</v>
      </c>
      <c r="C127" s="13">
        <v>1.48</v>
      </c>
      <c r="D127" s="42">
        <v>1.96707549159855</v>
      </c>
      <c r="E127" s="34">
        <v>1.9061600000000001</v>
      </c>
      <c r="F127" s="4">
        <v>0</v>
      </c>
      <c r="G127" s="11">
        <f>AVERAGE(C127:E127)</f>
        <v>1.78441183053285</v>
      </c>
    </row>
    <row r="128" spans="2:9" x14ac:dyDescent="0.25">
      <c r="B128" s="81"/>
      <c r="C128" s="81"/>
      <c r="D128" s="81"/>
      <c r="E128" s="81"/>
      <c r="F128" s="81"/>
      <c r="G128" s="81"/>
      <c r="H128" s="81"/>
    </row>
    <row r="129" spans="2:9" x14ac:dyDescent="0.25">
      <c r="B129" s="68" t="s">
        <v>62</v>
      </c>
      <c r="C129" s="68"/>
      <c r="D129" s="68"/>
      <c r="E129" s="68"/>
      <c r="F129" s="68"/>
      <c r="G129" s="68"/>
    </row>
    <row r="130" spans="2:9" x14ac:dyDescent="0.25">
      <c r="B130" s="14" t="s">
        <v>63</v>
      </c>
      <c r="C130" s="28">
        <v>281428</v>
      </c>
      <c r="D130" s="28">
        <v>4275</v>
      </c>
      <c r="E130" s="48">
        <v>8600</v>
      </c>
      <c r="F130" s="48">
        <v>837</v>
      </c>
      <c r="G130" s="28">
        <f>SUM(C130:F130)</f>
        <v>295140</v>
      </c>
    </row>
    <row r="131" spans="2:9" x14ac:dyDescent="0.25">
      <c r="B131" s="14" t="s">
        <v>64</v>
      </c>
      <c r="C131" s="28">
        <v>190118.46614999999</v>
      </c>
      <c r="D131" s="28">
        <v>4014.206619</v>
      </c>
      <c r="E131" s="48">
        <v>1187</v>
      </c>
      <c r="F131" s="48">
        <v>1019.86427</v>
      </c>
      <c r="G131" s="11">
        <f>SUM(C131:F131)</f>
        <v>196339.53703899999</v>
      </c>
    </row>
    <row r="132" spans="2:9" x14ac:dyDescent="0.25">
      <c r="B132" s="69"/>
      <c r="C132" s="69"/>
      <c r="D132" s="69"/>
      <c r="E132" s="69"/>
      <c r="F132" s="69"/>
      <c r="G132" s="69"/>
      <c r="H132" s="69"/>
    </row>
    <row r="133" spans="2:9" x14ac:dyDescent="0.25">
      <c r="B133" s="68" t="s">
        <v>65</v>
      </c>
      <c r="C133" s="68"/>
      <c r="D133" s="68"/>
      <c r="E133" s="68"/>
      <c r="F133" s="68"/>
      <c r="G133" s="68"/>
    </row>
    <row r="134" spans="2:9" x14ac:dyDescent="0.25">
      <c r="B134" s="14" t="s">
        <v>66</v>
      </c>
      <c r="C134" s="48">
        <v>603161</v>
      </c>
      <c r="D134" s="48">
        <v>318293</v>
      </c>
      <c r="E134" s="48">
        <f>91269+22383</f>
        <v>113652</v>
      </c>
      <c r="F134" s="48">
        <v>290470</v>
      </c>
      <c r="G134" s="28">
        <f>SUM(C134:F134)</f>
        <v>1325576</v>
      </c>
    </row>
    <row r="135" spans="2:9" x14ac:dyDescent="0.25">
      <c r="B135" s="69"/>
      <c r="C135" s="69"/>
      <c r="D135" s="69"/>
      <c r="E135" s="69"/>
      <c r="F135" s="69"/>
      <c r="G135" s="69"/>
      <c r="H135" s="69"/>
    </row>
    <row r="136" spans="2:9" ht="21" x14ac:dyDescent="0.35">
      <c r="B136" s="77" t="s">
        <v>67</v>
      </c>
      <c r="C136" s="77"/>
      <c r="D136" s="77"/>
      <c r="E136" s="77"/>
      <c r="F136" s="77"/>
      <c r="G136" s="77"/>
    </row>
    <row r="137" spans="2:9" x14ac:dyDescent="0.25">
      <c r="B137" s="68" t="s">
        <v>68</v>
      </c>
      <c r="C137" s="68"/>
      <c r="D137" s="68"/>
      <c r="E137" s="68"/>
      <c r="F137" s="68"/>
      <c r="G137" s="68"/>
    </row>
    <row r="138" spans="2:9" x14ac:dyDescent="0.25">
      <c r="B138" s="14" t="s">
        <v>69</v>
      </c>
      <c r="C138" s="48">
        <v>0</v>
      </c>
      <c r="D138" s="48">
        <v>4714</v>
      </c>
      <c r="E138" s="48"/>
      <c r="F138" s="48">
        <v>15756</v>
      </c>
      <c r="G138" s="28">
        <f>SUM(C138:F138)</f>
        <v>20470</v>
      </c>
      <c r="H138" s="7"/>
      <c r="I138" s="7"/>
    </row>
    <row r="139" spans="2:9" x14ac:dyDescent="0.25">
      <c r="B139" s="14" t="s">
        <v>70</v>
      </c>
      <c r="C139" s="48">
        <v>0</v>
      </c>
      <c r="D139" s="48">
        <v>3</v>
      </c>
      <c r="E139" s="48"/>
      <c r="F139" s="48">
        <v>54</v>
      </c>
      <c r="G139" s="28">
        <f>SUM(C139:F139)</f>
        <v>57</v>
      </c>
      <c r="H139" s="7"/>
      <c r="I139" s="7"/>
    </row>
    <row r="140" spans="2:9" x14ac:dyDescent="0.25">
      <c r="B140" s="69"/>
      <c r="C140" s="69"/>
      <c r="D140" s="69"/>
      <c r="E140" s="69"/>
      <c r="F140" s="69"/>
      <c r="G140" s="69"/>
      <c r="H140" s="69"/>
      <c r="I140" s="7"/>
    </row>
    <row r="141" spans="2:9" x14ac:dyDescent="0.25">
      <c r="B141" s="69"/>
      <c r="C141" s="69"/>
      <c r="D141" s="69"/>
      <c r="E141" s="69"/>
      <c r="F141" s="69"/>
      <c r="G141" s="69"/>
      <c r="H141" s="69"/>
    </row>
    <row r="142" spans="2:9" ht="21" x14ac:dyDescent="0.35">
      <c r="B142" s="78" t="s">
        <v>71</v>
      </c>
      <c r="C142" s="79"/>
      <c r="D142" s="79"/>
      <c r="E142" s="79"/>
      <c r="F142" s="79"/>
      <c r="G142" s="80"/>
    </row>
    <row r="143" spans="2:9" x14ac:dyDescent="0.25">
      <c r="B143" s="74" t="s">
        <v>72</v>
      </c>
      <c r="C143" s="75"/>
      <c r="D143" s="75"/>
      <c r="E143" s="75"/>
      <c r="F143" s="75"/>
      <c r="G143" s="76"/>
    </row>
    <row r="144" spans="2:9" x14ac:dyDescent="0.25">
      <c r="B144" s="69"/>
      <c r="C144" s="69"/>
      <c r="D144" s="69"/>
      <c r="E144" s="69"/>
      <c r="F144" s="69"/>
      <c r="G144" s="69"/>
      <c r="H144" s="69"/>
    </row>
    <row r="145" spans="2:8" x14ac:dyDescent="0.25">
      <c r="B145" s="73" t="s">
        <v>73</v>
      </c>
      <c r="C145" s="73"/>
      <c r="D145" s="73"/>
      <c r="E145" s="73"/>
      <c r="F145" s="73"/>
      <c r="G145" s="73"/>
    </row>
    <row r="146" spans="2:8" x14ac:dyDescent="0.25">
      <c r="B146" s="14" t="s">
        <v>74</v>
      </c>
      <c r="C146" s="28">
        <v>0</v>
      </c>
      <c r="D146" s="48">
        <v>7096</v>
      </c>
      <c r="E146" s="48">
        <v>0</v>
      </c>
      <c r="F146" s="48">
        <v>1603</v>
      </c>
      <c r="G146" s="28">
        <f>SUM(C146:F146)</f>
        <v>8699</v>
      </c>
    </row>
    <row r="147" spans="2:8" x14ac:dyDescent="0.25">
      <c r="B147" s="14" t="s">
        <v>75</v>
      </c>
      <c r="C147" s="28">
        <v>0</v>
      </c>
      <c r="D147" s="48">
        <v>154.73949999999999</v>
      </c>
      <c r="E147" s="48">
        <v>0</v>
      </c>
      <c r="F147" s="48">
        <v>20.517499999999998</v>
      </c>
      <c r="G147" s="11">
        <f>SUM(C147:F147)</f>
        <v>175.25700000000001</v>
      </c>
    </row>
    <row r="148" spans="2:8" x14ac:dyDescent="0.25">
      <c r="B148" s="69"/>
      <c r="C148" s="69"/>
      <c r="D148" s="69"/>
      <c r="E148" s="69"/>
      <c r="F148" s="69"/>
      <c r="G148" s="69"/>
      <c r="H148" s="69"/>
    </row>
    <row r="149" spans="2:8" x14ac:dyDescent="0.25">
      <c r="B149" s="73" t="s">
        <v>76</v>
      </c>
      <c r="C149" s="73"/>
      <c r="D149" s="73"/>
      <c r="E149" s="73"/>
      <c r="F149" s="73"/>
      <c r="G149" s="73"/>
    </row>
    <row r="150" spans="2:8" x14ac:dyDescent="0.25">
      <c r="B150" s="14" t="s">
        <v>77</v>
      </c>
      <c r="C150" s="48">
        <v>0</v>
      </c>
      <c r="D150" s="48"/>
      <c r="E150" s="48">
        <v>2</v>
      </c>
      <c r="F150" s="48">
        <v>0</v>
      </c>
      <c r="G150" s="28">
        <f>SUM(C150:F150)</f>
        <v>2</v>
      </c>
      <c r="H150"/>
    </row>
    <row r="151" spans="2:8" x14ac:dyDescent="0.25">
      <c r="B151" s="14" t="s">
        <v>78</v>
      </c>
      <c r="C151" s="48">
        <v>0</v>
      </c>
      <c r="D151" s="48"/>
      <c r="E151" s="48">
        <f>26000/1000000</f>
        <v>2.5999999999999999E-2</v>
      </c>
      <c r="F151" s="48">
        <v>0</v>
      </c>
      <c r="G151" s="11">
        <f>SUM(C151:F151)</f>
        <v>2.5999999999999999E-2</v>
      </c>
      <c r="H151"/>
    </row>
    <row r="152" spans="2:8" x14ac:dyDescent="0.25">
      <c r="B152" s="69"/>
      <c r="C152" s="69"/>
      <c r="D152" s="69"/>
      <c r="E152" s="69"/>
      <c r="F152" s="69"/>
      <c r="G152" s="69"/>
      <c r="H152" s="69"/>
    </row>
    <row r="153" spans="2:8" x14ac:dyDescent="0.25">
      <c r="B153" s="73" t="s">
        <v>79</v>
      </c>
      <c r="C153" s="73"/>
      <c r="D153" s="73"/>
      <c r="E153" s="73"/>
      <c r="F153" s="73"/>
      <c r="G153" s="73"/>
    </row>
    <row r="154" spans="2:8" x14ac:dyDescent="0.25">
      <c r="B154" s="14" t="s">
        <v>80</v>
      </c>
      <c r="C154" s="14">
        <v>0</v>
      </c>
      <c r="D154" s="28">
        <v>112</v>
      </c>
      <c r="E154" s="36">
        <v>0</v>
      </c>
      <c r="F154" s="35">
        <v>0</v>
      </c>
      <c r="G154" s="28">
        <f>SUM(C154:F154)</f>
        <v>112</v>
      </c>
      <c r="H154"/>
    </row>
    <row r="155" spans="2:8" x14ac:dyDescent="0.25">
      <c r="B155" s="14" t="s">
        <v>81</v>
      </c>
      <c r="C155" s="28">
        <v>0</v>
      </c>
      <c r="D155" s="28">
        <v>0</v>
      </c>
      <c r="E155" s="36">
        <v>0</v>
      </c>
      <c r="F155" s="35">
        <v>0</v>
      </c>
      <c r="G155" s="11">
        <f>SUM(C155:F155)</f>
        <v>0</v>
      </c>
      <c r="H155"/>
    </row>
    <row r="156" spans="2:8" x14ac:dyDescent="0.25">
      <c r="B156" s="69"/>
      <c r="C156" s="69"/>
      <c r="D156" s="69"/>
      <c r="E156" s="69"/>
      <c r="F156" s="69"/>
      <c r="G156" s="69"/>
      <c r="H156" s="69"/>
    </row>
    <row r="157" spans="2:8" x14ac:dyDescent="0.25">
      <c r="B157" s="70" t="s">
        <v>82</v>
      </c>
      <c r="C157" s="71"/>
      <c r="D157" s="71"/>
      <c r="E157" s="71"/>
      <c r="F157" s="71"/>
      <c r="G157" s="72"/>
    </row>
    <row r="158" spans="2:8" x14ac:dyDescent="0.25">
      <c r="B158" s="18" t="s">
        <v>83</v>
      </c>
      <c r="C158" s="19">
        <v>0</v>
      </c>
      <c r="D158" s="19">
        <f>D146+D150+D154</f>
        <v>7208</v>
      </c>
      <c r="E158" s="19">
        <f>+E154+E150+E146</f>
        <v>2</v>
      </c>
      <c r="F158" s="19">
        <f>F146+F154</f>
        <v>1603</v>
      </c>
      <c r="G158" s="19">
        <f>SUM(C158:F158)</f>
        <v>8813</v>
      </c>
    </row>
    <row r="159" spans="2:8" x14ac:dyDescent="0.25">
      <c r="B159" s="18" t="s">
        <v>84</v>
      </c>
      <c r="C159" s="19">
        <v>0</v>
      </c>
      <c r="D159" s="19">
        <f>D147+D151+D155</f>
        <v>154.73949999999999</v>
      </c>
      <c r="E159" s="19">
        <f>+E155+E151+E147</f>
        <v>2.5999999999999999E-2</v>
      </c>
      <c r="F159" s="19">
        <f>F147+F155</f>
        <v>20.517499999999998</v>
      </c>
      <c r="G159" s="22">
        <f>SUM(C159:F159)</f>
        <v>175.28300000000002</v>
      </c>
    </row>
    <row r="160" spans="2:8" x14ac:dyDescent="0.25">
      <c r="B160" s="69"/>
      <c r="C160" s="69"/>
      <c r="D160" s="69"/>
      <c r="E160" s="69"/>
      <c r="F160" s="69"/>
      <c r="G160" s="69"/>
      <c r="H160" s="69"/>
    </row>
    <row r="161" spans="2:8" x14ac:dyDescent="0.25">
      <c r="B161" s="68" t="s">
        <v>85</v>
      </c>
      <c r="C161" s="68"/>
      <c r="D161" s="68"/>
      <c r="E161" s="68"/>
      <c r="F161" s="68"/>
      <c r="G161" s="68"/>
    </row>
    <row r="162" spans="2:8" x14ac:dyDescent="0.25">
      <c r="B162" s="14" t="s">
        <v>80</v>
      </c>
      <c r="C162" s="28">
        <v>3390</v>
      </c>
      <c r="D162" s="28">
        <v>44617</v>
      </c>
      <c r="E162" s="28">
        <v>3873</v>
      </c>
      <c r="F162" s="28">
        <v>20407</v>
      </c>
      <c r="G162" s="28">
        <f>SUM(C162:F162)</f>
        <v>72287</v>
      </c>
    </row>
    <row r="163" spans="2:8" x14ac:dyDescent="0.25">
      <c r="B163" s="14" t="s">
        <v>81</v>
      </c>
      <c r="C163" s="28">
        <f>80938235/1000000</f>
        <v>80.938235000000006</v>
      </c>
      <c r="D163" s="28">
        <v>230.79856000000004</v>
      </c>
      <c r="E163" s="28">
        <f>60770232/1000000</f>
        <v>60.770232</v>
      </c>
      <c r="F163" s="28">
        <v>119.37988300000001</v>
      </c>
      <c r="G163" s="11">
        <f>SUM(C163:F163)</f>
        <v>491.88691000000006</v>
      </c>
    </row>
    <row r="164" spans="2:8" x14ac:dyDescent="0.25">
      <c r="B164" s="69"/>
      <c r="C164" s="69"/>
      <c r="D164" s="69"/>
      <c r="E164" s="69"/>
      <c r="F164" s="69"/>
      <c r="G164" s="69"/>
    </row>
    <row r="165" spans="2:8" x14ac:dyDescent="0.25">
      <c r="B165" s="74" t="s">
        <v>86</v>
      </c>
      <c r="C165" s="75"/>
      <c r="D165" s="75"/>
      <c r="E165" s="75"/>
      <c r="F165" s="75"/>
      <c r="G165" s="76"/>
    </row>
    <row r="166" spans="2:8" x14ac:dyDescent="0.25">
      <c r="B166" s="70" t="s">
        <v>87</v>
      </c>
      <c r="C166" s="71"/>
      <c r="D166" s="71"/>
      <c r="E166" s="71"/>
      <c r="F166" s="71"/>
      <c r="G166" s="72"/>
    </row>
    <row r="167" spans="2:8" x14ac:dyDescent="0.25">
      <c r="B167" s="14" t="s">
        <v>88</v>
      </c>
      <c r="C167" s="28">
        <v>377</v>
      </c>
      <c r="D167" s="28">
        <v>4123</v>
      </c>
      <c r="E167" s="28">
        <v>612</v>
      </c>
      <c r="F167" s="28">
        <v>648</v>
      </c>
      <c r="G167" s="28">
        <f>SUM(C167:F167)</f>
        <v>5760</v>
      </c>
    </row>
    <row r="168" spans="2:8" x14ac:dyDescent="0.25">
      <c r="B168" s="14" t="s">
        <v>89</v>
      </c>
      <c r="C168" s="28">
        <f>9425000/1000000</f>
        <v>9.4250000000000007</v>
      </c>
      <c r="D168" s="28">
        <v>92.598540000000014</v>
      </c>
      <c r="E168" s="28">
        <f>10520000/1000000</f>
        <v>10.52</v>
      </c>
      <c r="F168" s="28">
        <v>23.215</v>
      </c>
      <c r="G168" s="11">
        <f>SUM(C168:F168)</f>
        <v>135.75854000000001</v>
      </c>
    </row>
    <row r="169" spans="2:8" x14ac:dyDescent="0.25">
      <c r="B169" s="69"/>
      <c r="C169" s="69"/>
      <c r="D169" s="69"/>
      <c r="E169" s="69"/>
      <c r="F169" s="69"/>
      <c r="G169" s="69"/>
    </row>
    <row r="170" spans="2:8" x14ac:dyDescent="0.25">
      <c r="B170" s="70" t="s">
        <v>90</v>
      </c>
      <c r="C170" s="71"/>
      <c r="D170" s="71"/>
      <c r="E170" s="71"/>
      <c r="F170" s="71"/>
      <c r="G170" s="72"/>
    </row>
    <row r="171" spans="2:8" x14ac:dyDescent="0.25">
      <c r="B171" s="14" t="s">
        <v>91</v>
      </c>
      <c r="C171" s="28">
        <v>1253</v>
      </c>
      <c r="D171" s="28">
        <v>656</v>
      </c>
      <c r="E171" s="28">
        <v>160</v>
      </c>
      <c r="F171" s="28">
        <v>419</v>
      </c>
      <c r="G171" s="28">
        <f>SUM(C171:F171)</f>
        <v>2488</v>
      </c>
    </row>
    <row r="172" spans="2:8" x14ac:dyDescent="0.25">
      <c r="B172" s="14" t="s">
        <v>89</v>
      </c>
      <c r="C172" s="28">
        <f>27566000/1000000</f>
        <v>27.565999999999999</v>
      </c>
      <c r="D172" s="28">
        <v>13.776</v>
      </c>
      <c r="E172" s="28">
        <f>4000000/1000000</f>
        <v>4</v>
      </c>
      <c r="F172" s="28">
        <v>9.17</v>
      </c>
      <c r="G172" s="11">
        <f>SUM(C172:F172)</f>
        <v>54.512</v>
      </c>
    </row>
    <row r="173" spans="2:8" x14ac:dyDescent="0.25">
      <c r="B173" s="69"/>
      <c r="C173" s="69"/>
      <c r="D173" s="69"/>
      <c r="E173" s="69"/>
      <c r="F173" s="69"/>
      <c r="G173" s="69"/>
      <c r="H173" s="69"/>
    </row>
    <row r="174" spans="2:8" x14ac:dyDescent="0.25">
      <c r="B174" s="70" t="s">
        <v>92</v>
      </c>
      <c r="C174" s="71"/>
      <c r="D174" s="71"/>
      <c r="E174" s="71"/>
      <c r="F174" s="71"/>
      <c r="G174" s="72"/>
    </row>
    <row r="175" spans="2:8" x14ac:dyDescent="0.25">
      <c r="B175" s="14" t="s">
        <v>91</v>
      </c>
      <c r="C175" s="28">
        <v>344</v>
      </c>
      <c r="D175" s="28">
        <v>344</v>
      </c>
      <c r="E175" s="28">
        <v>228</v>
      </c>
      <c r="F175" s="28">
        <v>40</v>
      </c>
      <c r="G175" s="28">
        <f>SUM(C175:F175)</f>
        <v>956</v>
      </c>
    </row>
    <row r="176" spans="2:8" x14ac:dyDescent="0.25">
      <c r="B176" s="14" t="s">
        <v>89</v>
      </c>
      <c r="C176" s="28">
        <f>24080000/1000000</f>
        <v>24.08</v>
      </c>
      <c r="D176" s="28">
        <v>35.96</v>
      </c>
      <c r="E176" s="28">
        <f>12928062/1000000</f>
        <v>12.928062000000001</v>
      </c>
      <c r="F176" s="28">
        <v>4.0599999999999996</v>
      </c>
      <c r="G176" s="11">
        <f>SUM(C176:F176)</f>
        <v>77.028062000000006</v>
      </c>
    </row>
    <row r="177" spans="2:8" x14ac:dyDescent="0.25">
      <c r="B177" s="69"/>
      <c r="C177" s="69"/>
      <c r="D177" s="69"/>
      <c r="E177" s="69"/>
      <c r="F177" s="69"/>
      <c r="G177" s="69"/>
      <c r="H177" s="69"/>
    </row>
    <row r="178" spans="2:8" x14ac:dyDescent="0.25">
      <c r="B178" s="70" t="s">
        <v>93</v>
      </c>
      <c r="C178" s="71"/>
      <c r="D178" s="71"/>
      <c r="E178" s="71"/>
      <c r="F178" s="71"/>
      <c r="G178" s="72"/>
    </row>
    <row r="179" spans="2:8" x14ac:dyDescent="0.25">
      <c r="B179" s="14" t="s">
        <v>91</v>
      </c>
      <c r="C179" s="28">
        <v>420</v>
      </c>
      <c r="D179" s="28">
        <v>164603</v>
      </c>
      <c r="E179" s="28">
        <v>0</v>
      </c>
      <c r="F179" s="28">
        <v>0</v>
      </c>
      <c r="G179" s="28">
        <f>SUM(C179:F179)</f>
        <v>165023</v>
      </c>
    </row>
    <row r="180" spans="2:8" x14ac:dyDescent="0.25">
      <c r="B180" s="14" t="s">
        <v>89</v>
      </c>
      <c r="C180" s="28">
        <f>12910000/1000000</f>
        <v>12.91</v>
      </c>
      <c r="D180" s="28">
        <v>2865.9982289635668</v>
      </c>
      <c r="E180" s="28">
        <v>0</v>
      </c>
      <c r="F180" s="28">
        <v>0</v>
      </c>
      <c r="G180" s="11">
        <f>SUM(C180:F180)</f>
        <v>2878.9082289635667</v>
      </c>
    </row>
    <row r="181" spans="2:8" x14ac:dyDescent="0.25">
      <c r="B181" s="69"/>
      <c r="C181" s="69"/>
      <c r="D181" s="69"/>
      <c r="E181" s="69"/>
      <c r="F181" s="69"/>
      <c r="G181" s="69"/>
      <c r="H181" s="69"/>
    </row>
    <row r="182" spans="2:8" x14ac:dyDescent="0.25">
      <c r="B182" s="68" t="s">
        <v>94</v>
      </c>
      <c r="C182" s="68"/>
      <c r="D182" s="68"/>
      <c r="E182" s="68"/>
      <c r="F182" s="68"/>
      <c r="G182" s="68"/>
    </row>
    <row r="183" spans="2:8" x14ac:dyDescent="0.25">
      <c r="B183" s="18" t="s">
        <v>95</v>
      </c>
      <c r="C183" s="19">
        <f>+C179+C175+C171+C167</f>
        <v>2394</v>
      </c>
      <c r="D183" s="19">
        <f>D167+D171+D175+D179</f>
        <v>169726</v>
      </c>
      <c r="E183" s="19">
        <f t="shared" ref="E183:E184" si="5">+E179+E175+E171+E167</f>
        <v>1000</v>
      </c>
      <c r="F183" s="19">
        <f>+F179+F175+F171+F167</f>
        <v>1107</v>
      </c>
      <c r="G183" s="19">
        <f>SUM(C183:F183)</f>
        <v>174227</v>
      </c>
    </row>
    <row r="184" spans="2:8" x14ac:dyDescent="0.25">
      <c r="B184" s="18" t="s">
        <v>96</v>
      </c>
      <c r="C184" s="19">
        <f>+C180+C176+C172+C168</f>
        <v>73.980999999999995</v>
      </c>
      <c r="D184" s="19">
        <f>D168+D172+D176+D180</f>
        <v>3008.3327689635667</v>
      </c>
      <c r="E184" s="19">
        <f t="shared" si="5"/>
        <v>27.448062</v>
      </c>
      <c r="F184" s="19">
        <f>+F180+F176+F172+F168</f>
        <v>36.445</v>
      </c>
      <c r="G184" s="22">
        <f>SUM(C184:F184)</f>
        <v>3146.206830963567</v>
      </c>
    </row>
    <row r="185" spans="2:8" x14ac:dyDescent="0.25">
      <c r="B185" s="69"/>
      <c r="C185" s="69"/>
      <c r="D185" s="69"/>
      <c r="E185" s="69"/>
      <c r="F185" s="69"/>
      <c r="G185" s="69"/>
      <c r="H185" s="69"/>
    </row>
    <row r="186" spans="2:8" x14ac:dyDescent="0.25">
      <c r="B186" s="68" t="s">
        <v>97</v>
      </c>
      <c r="C186" s="68"/>
      <c r="D186" s="68"/>
      <c r="E186" s="68"/>
      <c r="F186" s="68"/>
      <c r="G186" s="68"/>
    </row>
    <row r="187" spans="2:8" x14ac:dyDescent="0.25">
      <c r="B187" s="14" t="s">
        <v>98</v>
      </c>
      <c r="C187" s="28">
        <v>4439</v>
      </c>
      <c r="D187" s="28">
        <v>3722</v>
      </c>
      <c r="E187" s="28">
        <v>75</v>
      </c>
      <c r="F187" s="28">
        <f>F166+F171+F175+F179+F162</f>
        <v>20866</v>
      </c>
      <c r="G187" s="28">
        <f>SUM(C187:F187)</f>
        <v>29102</v>
      </c>
    </row>
    <row r="188" spans="2:8" x14ac:dyDescent="0.25">
      <c r="B188" s="14" t="s">
        <v>99</v>
      </c>
      <c r="C188" s="28">
        <f>41707853/1000000</f>
        <v>41.707853</v>
      </c>
      <c r="D188" s="28">
        <v>122.96641000000001</v>
      </c>
      <c r="E188" s="28">
        <f>3010000/1000000</f>
        <v>3.01</v>
      </c>
      <c r="F188" s="28">
        <f>F167+F172+F176+F180+F163</f>
        <v>780.60988299999985</v>
      </c>
      <c r="G188" s="11">
        <f>SUM(C188:F188)</f>
        <v>948.29414599999984</v>
      </c>
    </row>
    <row r="189" spans="2:8" x14ac:dyDescent="0.25">
      <c r="B189" s="69"/>
      <c r="C189" s="69"/>
      <c r="D189" s="69"/>
      <c r="E189" s="69"/>
      <c r="F189" s="69"/>
      <c r="G189" s="69"/>
      <c r="H189" s="69"/>
    </row>
    <row r="190" spans="2:8" x14ac:dyDescent="0.25">
      <c r="B190" s="68" t="s">
        <v>100</v>
      </c>
      <c r="C190" s="68"/>
      <c r="D190" s="68"/>
      <c r="E190" s="68"/>
      <c r="F190" s="68"/>
      <c r="G190" s="68"/>
    </row>
    <row r="191" spans="2:8" x14ac:dyDescent="0.25">
      <c r="B191" s="18" t="s">
        <v>101</v>
      </c>
      <c r="C191" s="19">
        <f>C187+C162+C183</f>
        <v>10223</v>
      </c>
      <c r="D191" s="19">
        <f>+D187+D183+D162+D158</f>
        <v>225273</v>
      </c>
      <c r="E191" s="19">
        <f t="shared" ref="E191:E192" si="6">+E187+E183+E162+E158</f>
        <v>4950</v>
      </c>
      <c r="F191" s="19">
        <f>F158+F162+F183+F187</f>
        <v>43983</v>
      </c>
      <c r="G191" s="19">
        <f>SUM(C191:F191)</f>
        <v>284429</v>
      </c>
    </row>
    <row r="192" spans="2:8" x14ac:dyDescent="0.25">
      <c r="B192" s="18" t="s">
        <v>102</v>
      </c>
      <c r="C192" s="19">
        <f>C188+C163+C184</f>
        <v>196.62708800000001</v>
      </c>
      <c r="D192" s="19">
        <f>+D188+D184+D163+D159</f>
        <v>3516.837238963567</v>
      </c>
      <c r="E192" s="19">
        <f t="shared" si="6"/>
        <v>91.254294000000002</v>
      </c>
      <c r="F192" s="19">
        <f>F159+F184+F163+F188</f>
        <v>956.9522659999999</v>
      </c>
      <c r="G192" s="22">
        <f>SUM(C192:F192)</f>
        <v>4761.6708869635668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G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195"/>
  <sheetViews>
    <sheetView topLeftCell="A118" zoomScaleNormal="100" workbookViewId="0">
      <selection activeCell="K27" sqref="K27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7" t="s">
        <v>1</v>
      </c>
      <c r="D2" s="88"/>
      <c r="E2" s="88"/>
      <c r="F2" s="88"/>
      <c r="G2" s="89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8" t="s">
        <v>7</v>
      </c>
      <c r="C4" s="79"/>
      <c r="D4" s="79"/>
      <c r="E4" s="79"/>
      <c r="F4" s="79"/>
      <c r="G4" s="80"/>
    </row>
    <row r="5" spans="1:7" x14ac:dyDescent="0.25">
      <c r="B5" s="74" t="s">
        <v>103</v>
      </c>
      <c r="C5" s="75"/>
      <c r="D5" s="75"/>
      <c r="E5" s="75"/>
      <c r="F5" s="75"/>
      <c r="G5" s="76"/>
    </row>
    <row r="6" spans="1:7" x14ac:dyDescent="0.25">
      <c r="B6" s="4" t="s">
        <v>104</v>
      </c>
      <c r="C6" s="12">
        <v>55090</v>
      </c>
      <c r="D6" s="12">
        <v>8198</v>
      </c>
      <c r="E6" s="12">
        <v>9233</v>
      </c>
      <c r="F6" s="12">
        <v>10483</v>
      </c>
      <c r="G6" s="12">
        <f>+F6+E6+D6+C6</f>
        <v>83004</v>
      </c>
    </row>
    <row r="7" spans="1:7" x14ac:dyDescent="0.25">
      <c r="B7" s="14" t="s">
        <v>105</v>
      </c>
      <c r="C7" s="12">
        <v>528</v>
      </c>
      <c r="D7" s="12">
        <v>229</v>
      </c>
      <c r="E7" s="12">
        <v>12</v>
      </c>
      <c r="F7" s="12">
        <v>135</v>
      </c>
      <c r="G7" s="12">
        <f>+F7+E7+D7+C7</f>
        <v>904</v>
      </c>
    </row>
    <row r="8" spans="1:7" x14ac:dyDescent="0.25">
      <c r="B8" s="18" t="s">
        <v>106</v>
      </c>
      <c r="C8" s="25">
        <v>55618</v>
      </c>
      <c r="D8" s="25">
        <v>8427</v>
      </c>
      <c r="E8" s="25">
        <v>9245</v>
      </c>
      <c r="F8" s="25">
        <v>10618</v>
      </c>
      <c r="G8" s="25">
        <f>+F8+E8+D8+C8</f>
        <v>83908</v>
      </c>
    </row>
    <row r="9" spans="1:7" x14ac:dyDescent="0.25">
      <c r="B9" s="69"/>
      <c r="C9" s="69"/>
      <c r="D9" s="69"/>
      <c r="E9" s="69"/>
      <c r="F9" s="69"/>
      <c r="G9" s="69"/>
    </row>
    <row r="10" spans="1:7" x14ac:dyDescent="0.25">
      <c r="B10" s="74" t="s">
        <v>8</v>
      </c>
      <c r="C10" s="75"/>
      <c r="D10" s="75"/>
      <c r="E10" s="75"/>
      <c r="F10" s="75"/>
      <c r="G10" s="76"/>
    </row>
    <row r="11" spans="1:7" x14ac:dyDescent="0.25">
      <c r="B11" s="70" t="s">
        <v>9</v>
      </c>
      <c r="C11" s="71"/>
      <c r="D11" s="71"/>
      <c r="E11" s="71"/>
      <c r="F11" s="71"/>
      <c r="G11" s="72"/>
    </row>
    <row r="12" spans="1:7" x14ac:dyDescent="0.25">
      <c r="B12" s="16" t="s">
        <v>10</v>
      </c>
      <c r="C12" s="17">
        <v>939512</v>
      </c>
      <c r="D12" s="28">
        <v>140082</v>
      </c>
      <c r="E12" s="28">
        <v>57398</v>
      </c>
      <c r="F12" s="28">
        <v>0</v>
      </c>
      <c r="G12" s="17">
        <f>SUM(C12:F12)</f>
        <v>1136992</v>
      </c>
    </row>
    <row r="13" spans="1:7" x14ac:dyDescent="0.25">
      <c r="B13" s="16" t="s">
        <v>11</v>
      </c>
      <c r="C13" s="17">
        <v>2390919</v>
      </c>
      <c r="D13" s="28">
        <v>532869</v>
      </c>
      <c r="E13" s="28">
        <v>239893</v>
      </c>
      <c r="F13" s="28">
        <v>0</v>
      </c>
      <c r="G13" s="17">
        <f>SUM(C13:F13)</f>
        <v>3163681</v>
      </c>
    </row>
    <row r="14" spans="1:7" x14ac:dyDescent="0.25">
      <c r="B14" s="18" t="s">
        <v>12</v>
      </c>
      <c r="C14" s="19">
        <v>3330431</v>
      </c>
      <c r="D14" s="19">
        <v>992709</v>
      </c>
      <c r="E14" s="19">
        <v>297291</v>
      </c>
      <c r="F14" s="19">
        <v>374668</v>
      </c>
      <c r="G14" s="19">
        <f>SUM(C14:F14)</f>
        <v>4995099</v>
      </c>
    </row>
    <row r="15" spans="1:7" x14ac:dyDescent="0.25">
      <c r="B15" s="18" t="s">
        <v>13</v>
      </c>
      <c r="C15" s="19">
        <v>439192</v>
      </c>
      <c r="D15" s="19">
        <v>149739</v>
      </c>
      <c r="E15" s="19">
        <v>2958</v>
      </c>
      <c r="F15" s="19">
        <v>97453</v>
      </c>
      <c r="G15" s="19">
        <f>SUM(C15:F15)</f>
        <v>689342</v>
      </c>
    </row>
    <row r="16" spans="1:7" x14ac:dyDescent="0.25">
      <c r="B16" s="18" t="s">
        <v>14</v>
      </c>
      <c r="C16" s="19">
        <v>3769623</v>
      </c>
      <c r="D16" s="19">
        <v>1142448</v>
      </c>
      <c r="E16" s="19">
        <v>300249</v>
      </c>
      <c r="F16" s="19">
        <v>472121</v>
      </c>
      <c r="G16" s="19">
        <f>SUM(C16:F16)</f>
        <v>5684441</v>
      </c>
    </row>
    <row r="17" spans="2:8" x14ac:dyDescent="0.25">
      <c r="B17" s="69"/>
      <c r="C17" s="69"/>
      <c r="D17" s="69"/>
      <c r="E17" s="69"/>
      <c r="F17" s="69"/>
      <c r="G17" s="69"/>
    </row>
    <row r="18" spans="2:8" x14ac:dyDescent="0.25">
      <c r="B18" s="70" t="s">
        <v>15</v>
      </c>
      <c r="C18" s="71"/>
      <c r="D18" s="71"/>
      <c r="E18" s="71"/>
      <c r="F18" s="71"/>
      <c r="G18" s="72"/>
    </row>
    <row r="19" spans="2:8" x14ac:dyDescent="0.25">
      <c r="B19" s="14" t="s">
        <v>16</v>
      </c>
      <c r="C19" s="28">
        <v>3587</v>
      </c>
      <c r="D19" s="28">
        <v>4</v>
      </c>
      <c r="E19" s="28">
        <v>0</v>
      </c>
      <c r="F19" s="28">
        <v>0</v>
      </c>
      <c r="G19" s="20">
        <f>SUM(C19:F19)</f>
        <v>3591</v>
      </c>
    </row>
    <row r="20" spans="2:8" x14ac:dyDescent="0.25">
      <c r="B20" s="90"/>
      <c r="C20" s="90"/>
      <c r="D20" s="90"/>
      <c r="E20" s="90"/>
      <c r="F20" s="90"/>
      <c r="G20" s="90"/>
    </row>
    <row r="21" spans="2:8" x14ac:dyDescent="0.25">
      <c r="B21" s="18" t="s">
        <v>17</v>
      </c>
      <c r="C21" s="19">
        <v>3773210</v>
      </c>
      <c r="D21" s="19">
        <v>1142452</v>
      </c>
      <c r="E21" s="19">
        <v>300249</v>
      </c>
      <c r="F21" s="19">
        <f>F16</f>
        <v>472121</v>
      </c>
      <c r="G21" s="19">
        <f>SUM(C21:F21)</f>
        <v>5688032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18</v>
      </c>
      <c r="C23" s="9"/>
      <c r="D23" s="9"/>
      <c r="E23" s="9"/>
      <c r="F23" s="9"/>
      <c r="G23" s="10"/>
    </row>
    <row r="24" spans="2:8" x14ac:dyDescent="0.25">
      <c r="B24" s="18" t="s">
        <v>19</v>
      </c>
      <c r="C24" s="19">
        <v>398259</v>
      </c>
      <c r="D24" s="19">
        <v>203467</v>
      </c>
      <c r="E24" s="19">
        <v>131073</v>
      </c>
      <c r="F24" s="19">
        <v>668830</v>
      </c>
      <c r="G24" s="19">
        <f>SUM(C24:F24)</f>
        <v>1401629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20</v>
      </c>
      <c r="C26" s="9"/>
      <c r="D26" s="9"/>
      <c r="E26" s="9"/>
      <c r="F26" s="9"/>
      <c r="G26" s="10"/>
    </row>
    <row r="27" spans="2:8" x14ac:dyDescent="0.25">
      <c r="B27" s="18" t="s">
        <v>21</v>
      </c>
      <c r="C27" s="19">
        <f>+C24+C21</f>
        <v>4171469</v>
      </c>
      <c r="D27" s="19">
        <f>+D24+D21</f>
        <v>1345919</v>
      </c>
      <c r="E27" s="19">
        <f>+E21+E24</f>
        <v>431322</v>
      </c>
      <c r="F27" s="19">
        <f>+F24+F21</f>
        <v>1140951</v>
      </c>
      <c r="G27" s="19">
        <f>SUM(C27:F27)</f>
        <v>7089661</v>
      </c>
    </row>
    <row r="28" spans="2:8" x14ac:dyDescent="0.25">
      <c r="B28" s="69"/>
      <c r="C28" s="69"/>
      <c r="D28" s="69"/>
      <c r="E28" s="69"/>
      <c r="F28" s="69"/>
      <c r="G28" s="69"/>
      <c r="H28" s="69"/>
    </row>
    <row r="29" spans="2:8" x14ac:dyDescent="0.25">
      <c r="B29" s="74" t="s">
        <v>22</v>
      </c>
      <c r="C29" s="75"/>
      <c r="D29" s="75"/>
      <c r="E29" s="75"/>
      <c r="F29" s="75"/>
      <c r="G29" s="76"/>
    </row>
    <row r="30" spans="2:8" x14ac:dyDescent="0.25">
      <c r="B30" s="14" t="s">
        <v>23</v>
      </c>
      <c r="C30" s="28">
        <v>1188233</v>
      </c>
      <c r="D30" s="28">
        <v>212339</v>
      </c>
      <c r="E30" s="28">
        <v>89079</v>
      </c>
      <c r="F30" s="28">
        <v>205474</v>
      </c>
      <c r="G30" s="28">
        <f>SUM(C30:F30)</f>
        <v>1695125</v>
      </c>
    </row>
    <row r="31" spans="2:8" x14ac:dyDescent="0.25">
      <c r="B31" s="69"/>
      <c r="C31" s="69"/>
      <c r="D31" s="69"/>
      <c r="E31" s="69"/>
      <c r="F31" s="69"/>
      <c r="G31" s="69"/>
      <c r="H31" s="69"/>
    </row>
    <row r="32" spans="2:8" x14ac:dyDescent="0.25">
      <c r="B32" s="74" t="s">
        <v>107</v>
      </c>
      <c r="C32" s="75"/>
      <c r="D32" s="75"/>
      <c r="E32" s="75"/>
      <c r="F32" s="75"/>
      <c r="G32" s="76"/>
    </row>
    <row r="33" spans="2:9" x14ac:dyDescent="0.25">
      <c r="B33" s="14" t="s">
        <v>25</v>
      </c>
      <c r="C33" s="28">
        <v>3252185972761</v>
      </c>
      <c r="D33" s="28">
        <v>557026920277</v>
      </c>
      <c r="E33" s="28">
        <v>230364687651</v>
      </c>
      <c r="F33" s="28">
        <v>304837821064</v>
      </c>
      <c r="G33" s="28">
        <f>SUM(C33:F33)</f>
        <v>4344415401753</v>
      </c>
    </row>
    <row r="34" spans="2:9" x14ac:dyDescent="0.25">
      <c r="B34" s="14" t="s">
        <v>26</v>
      </c>
      <c r="C34" s="28">
        <v>140624191863</v>
      </c>
      <c r="D34" s="28">
        <v>61889025680</v>
      </c>
      <c r="E34" s="28">
        <v>35239431400</v>
      </c>
      <c r="F34" s="28">
        <v>122320328744</v>
      </c>
      <c r="G34" s="28">
        <f>SUM(C34:F34)</f>
        <v>360072977687</v>
      </c>
    </row>
    <row r="35" spans="2:9" x14ac:dyDescent="0.25">
      <c r="B35" s="46" t="s">
        <v>27</v>
      </c>
      <c r="C35" s="19">
        <v>3392810164624</v>
      </c>
      <c r="D35" s="19">
        <v>618915945957</v>
      </c>
      <c r="E35" s="19">
        <v>265604119051</v>
      </c>
      <c r="F35" s="19">
        <v>427158149808</v>
      </c>
      <c r="G35" s="47">
        <f>SUM(C35:F35)</f>
        <v>4704488379440</v>
      </c>
    </row>
    <row r="36" spans="2:9" x14ac:dyDescent="0.25">
      <c r="B36" s="85" t="s">
        <v>108</v>
      </c>
      <c r="C36" s="85"/>
      <c r="D36" s="85"/>
      <c r="E36" s="85"/>
      <c r="F36" s="85"/>
      <c r="G36" s="85"/>
      <c r="H36"/>
    </row>
    <row r="37" spans="2:9" x14ac:dyDescent="0.25">
      <c r="B37" s="45"/>
      <c r="C37" s="45"/>
      <c r="D37" s="45"/>
      <c r="E37" s="45"/>
      <c r="F37" s="45"/>
      <c r="G37" s="45"/>
      <c r="H37" s="45"/>
    </row>
    <row r="38" spans="2:9" ht="21" x14ac:dyDescent="0.35">
      <c r="B38" s="78" t="s">
        <v>28</v>
      </c>
      <c r="C38" s="79"/>
      <c r="D38" s="79"/>
      <c r="E38" s="79"/>
      <c r="F38" s="79"/>
      <c r="G38" s="80"/>
    </row>
    <row r="39" spans="2:9" x14ac:dyDescent="0.25">
      <c r="B39" s="74" t="s">
        <v>29</v>
      </c>
      <c r="C39" s="75"/>
      <c r="D39" s="75"/>
      <c r="E39" s="75"/>
      <c r="F39" s="75"/>
      <c r="G39" s="76"/>
    </row>
    <row r="40" spans="2:9" x14ac:dyDescent="0.25">
      <c r="B40" s="14" t="s">
        <v>30</v>
      </c>
      <c r="C40" s="28">
        <v>647987</v>
      </c>
      <c r="D40" s="28">
        <v>122222</v>
      </c>
      <c r="E40" s="28">
        <v>50374</v>
      </c>
      <c r="F40" s="28">
        <v>64104</v>
      </c>
      <c r="G40" s="28">
        <f>SUM(C40:F40)</f>
        <v>884687</v>
      </c>
      <c r="H40" s="7"/>
      <c r="I40" s="7"/>
    </row>
    <row r="41" spans="2:9" x14ac:dyDescent="0.25">
      <c r="B41" s="14" t="s">
        <v>31</v>
      </c>
      <c r="C41" s="28">
        <f>2270469526/1000000</f>
        <v>2270.4695259999999</v>
      </c>
      <c r="D41" s="28">
        <v>735.50500399999999</v>
      </c>
      <c r="E41" s="28">
        <v>342</v>
      </c>
      <c r="F41" s="12">
        <v>357.84816799999999</v>
      </c>
      <c r="G41" s="11">
        <f>SUM(C41:F41)</f>
        <v>3705.8226979999999</v>
      </c>
      <c r="H41" s="7"/>
      <c r="I41" s="7"/>
    </row>
    <row r="42" spans="2:9" x14ac:dyDescent="0.25">
      <c r="B42" s="69"/>
      <c r="C42" s="69"/>
      <c r="D42" s="69"/>
      <c r="E42" s="69"/>
      <c r="F42" s="69"/>
      <c r="G42" s="69"/>
      <c r="H42" s="69"/>
      <c r="I42" s="7"/>
    </row>
    <row r="43" spans="2:9" x14ac:dyDescent="0.25">
      <c r="B43" s="68" t="s">
        <v>109</v>
      </c>
      <c r="C43" s="68"/>
      <c r="D43" s="68"/>
      <c r="E43" s="68"/>
      <c r="F43" s="68"/>
      <c r="G43" s="68"/>
      <c r="I43" s="7"/>
    </row>
    <row r="44" spans="2:9" x14ac:dyDescent="0.25">
      <c r="B44" s="14" t="s">
        <v>111</v>
      </c>
      <c r="C44" s="28">
        <v>10</v>
      </c>
      <c r="D44" s="28">
        <v>6</v>
      </c>
      <c r="E44" s="28">
        <v>3</v>
      </c>
      <c r="F44" s="28">
        <v>3</v>
      </c>
      <c r="G44" s="28">
        <f>SUM(C44:F44)</f>
        <v>22</v>
      </c>
      <c r="H44" s="7"/>
      <c r="I44" s="7"/>
    </row>
    <row r="45" spans="2:9" x14ac:dyDescent="0.25">
      <c r="B45" s="14" t="s">
        <v>112</v>
      </c>
      <c r="C45" s="28">
        <f>4775165/1000000</f>
        <v>4.7751650000000003</v>
      </c>
      <c r="D45" s="13">
        <v>6.9352999999999998E-2</v>
      </c>
      <c r="E45" s="52">
        <v>0.1</v>
      </c>
      <c r="F45" s="53">
        <v>0.121561</v>
      </c>
      <c r="G45" s="11">
        <f>SUM(C45:F45)</f>
        <v>5.0660790000000002</v>
      </c>
      <c r="H45" s="7"/>
      <c r="I45" s="7"/>
    </row>
    <row r="46" spans="2:9" x14ac:dyDescent="0.25">
      <c r="B46" s="69"/>
      <c r="C46" s="69"/>
      <c r="D46" s="69"/>
      <c r="E46" s="69"/>
      <c r="F46" s="69"/>
      <c r="G46" s="69"/>
      <c r="H46" s="69"/>
      <c r="I46" s="7"/>
    </row>
    <row r="47" spans="2:9" x14ac:dyDescent="0.25">
      <c r="B47" s="68" t="s">
        <v>110</v>
      </c>
      <c r="C47" s="68"/>
      <c r="D47" s="68"/>
      <c r="E47" s="68"/>
      <c r="F47" s="68"/>
      <c r="G47" s="68"/>
      <c r="I47" s="7"/>
    </row>
    <row r="48" spans="2:9" x14ac:dyDescent="0.25">
      <c r="B48" s="14" t="s">
        <v>113</v>
      </c>
      <c r="C48" s="28">
        <v>196093</v>
      </c>
      <c r="D48" s="28">
        <v>79605</v>
      </c>
      <c r="E48" s="28">
        <v>13834</v>
      </c>
      <c r="F48" s="28">
        <v>62474</v>
      </c>
      <c r="G48" s="28">
        <f>SUM(C48:F48)</f>
        <v>352006</v>
      </c>
      <c r="H48" s="7"/>
      <c r="I48" s="7"/>
    </row>
    <row r="49" spans="2:9" x14ac:dyDescent="0.25">
      <c r="B49" s="14" t="s">
        <v>114</v>
      </c>
      <c r="C49" s="28">
        <f>( 66859269154+ 1341481402)/1000000</f>
        <v>68200.750555999999</v>
      </c>
      <c r="D49" s="28">
        <v>24323.365269999998</v>
      </c>
      <c r="E49" s="28">
        <v>9180.7431699999997</v>
      </c>
      <c r="F49" s="28">
        <v>9592.3416649999999</v>
      </c>
      <c r="G49" s="11">
        <f>SUM(C49:F49)</f>
        <v>111297.200661</v>
      </c>
      <c r="H49" s="7"/>
      <c r="I49" s="7"/>
    </row>
    <row r="50" spans="2:9" x14ac:dyDescent="0.25">
      <c r="B50" s="69"/>
      <c r="C50" s="69"/>
      <c r="D50" s="69"/>
      <c r="E50" s="69"/>
      <c r="F50" s="69"/>
      <c r="G50" s="69"/>
      <c r="H50" s="69"/>
    </row>
    <row r="51" spans="2:9" ht="21" x14ac:dyDescent="0.35">
      <c r="B51" s="78" t="s">
        <v>38</v>
      </c>
      <c r="C51" s="79"/>
      <c r="D51" s="79"/>
      <c r="E51" s="79"/>
      <c r="F51" s="79"/>
      <c r="G51" s="80"/>
    </row>
    <row r="52" spans="2:9" x14ac:dyDescent="0.25">
      <c r="B52" s="86"/>
      <c r="C52" s="86"/>
      <c r="D52" s="86"/>
      <c r="E52" s="86"/>
      <c r="F52" s="86"/>
      <c r="G52" s="86"/>
      <c r="H52" s="86"/>
    </row>
    <row r="53" spans="2:9" x14ac:dyDescent="0.25">
      <c r="B53" s="68" t="s">
        <v>39</v>
      </c>
      <c r="C53" s="68"/>
      <c r="D53" s="68"/>
      <c r="E53" s="68"/>
      <c r="F53" s="68"/>
      <c r="G53" s="68"/>
    </row>
    <row r="54" spans="2:9" x14ac:dyDescent="0.25">
      <c r="B54" s="73" t="s">
        <v>40</v>
      </c>
      <c r="C54" s="73"/>
      <c r="D54" s="73"/>
      <c r="E54" s="73"/>
      <c r="F54" s="73"/>
      <c r="G54" s="73"/>
    </row>
    <row r="55" spans="2:9" x14ac:dyDescent="0.25">
      <c r="B55" s="14" t="s">
        <v>41</v>
      </c>
      <c r="C55" s="28">
        <v>65645</v>
      </c>
      <c r="D55" s="28">
        <v>3904</v>
      </c>
      <c r="E55" s="28">
        <v>1325</v>
      </c>
      <c r="F55" s="28">
        <v>3345</v>
      </c>
      <c r="G55" s="28">
        <f t="shared" ref="G55:G71" si="0">SUM(C55:F55)</f>
        <v>74219</v>
      </c>
    </row>
    <row r="56" spans="2:9" x14ac:dyDescent="0.25">
      <c r="B56" s="14" t="s">
        <v>42</v>
      </c>
      <c r="C56" s="28">
        <v>69331.562380000003</v>
      </c>
      <c r="D56" s="28">
        <v>6277.7905790000004</v>
      </c>
      <c r="E56" s="28">
        <v>2103.0760150000001</v>
      </c>
      <c r="F56" s="28">
        <v>8084</v>
      </c>
      <c r="G56" s="28">
        <f t="shared" si="0"/>
        <v>85796.428974000009</v>
      </c>
    </row>
    <row r="57" spans="2:9" x14ac:dyDescent="0.25">
      <c r="B57" s="14" t="s">
        <v>43</v>
      </c>
      <c r="C57" s="28">
        <v>17.819087516185501</v>
      </c>
      <c r="D57" s="28">
        <v>41.188584199160857</v>
      </c>
      <c r="E57" s="28">
        <v>26</v>
      </c>
      <c r="F57" s="28">
        <v>32</v>
      </c>
      <c r="G57" s="28">
        <f>AVERAGE(C57:F57)</f>
        <v>29.25191792883659</v>
      </c>
    </row>
    <row r="58" spans="2:9" x14ac:dyDescent="0.25">
      <c r="B58" s="14" t="s">
        <v>44</v>
      </c>
      <c r="C58" s="28">
        <v>655385</v>
      </c>
      <c r="D58" s="28">
        <v>145981</v>
      </c>
      <c r="E58" s="28">
        <v>48377</v>
      </c>
      <c r="F58" s="28">
        <v>63131</v>
      </c>
      <c r="G58" s="28">
        <f t="shared" si="0"/>
        <v>912874</v>
      </c>
    </row>
    <row r="59" spans="2:9" x14ac:dyDescent="0.25">
      <c r="B59" s="14" t="s">
        <v>115</v>
      </c>
      <c r="C59" s="28">
        <v>1565444.2956379999</v>
      </c>
      <c r="D59" s="28">
        <v>290074.35954699997</v>
      </c>
      <c r="E59" s="28">
        <v>101590.737035</v>
      </c>
      <c r="F59" s="28">
        <v>125753</v>
      </c>
      <c r="G59" s="11">
        <f t="shared" si="0"/>
        <v>2082862.3922199998</v>
      </c>
    </row>
    <row r="60" spans="2:9" x14ac:dyDescent="0.25">
      <c r="B60" s="73" t="s">
        <v>45</v>
      </c>
      <c r="C60" s="73"/>
      <c r="D60" s="73"/>
      <c r="E60" s="73"/>
      <c r="F60" s="73"/>
      <c r="G60" s="73"/>
    </row>
    <row r="61" spans="2:9" x14ac:dyDescent="0.25">
      <c r="B61" s="14" t="s">
        <v>41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42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43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44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115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3" t="s">
        <v>46</v>
      </c>
      <c r="C66" s="73"/>
      <c r="D66" s="73"/>
      <c r="E66" s="73"/>
      <c r="F66" s="73"/>
      <c r="G66" s="73"/>
    </row>
    <row r="67" spans="2:8" x14ac:dyDescent="0.25">
      <c r="B67" s="14" t="s">
        <v>41</v>
      </c>
      <c r="C67" s="28">
        <v>5323</v>
      </c>
      <c r="D67" s="28">
        <v>1746</v>
      </c>
      <c r="E67" s="28">
        <v>873</v>
      </c>
      <c r="F67" s="28">
        <v>11305</v>
      </c>
      <c r="G67" s="28">
        <f t="shared" si="0"/>
        <v>19247</v>
      </c>
    </row>
    <row r="68" spans="2:8" x14ac:dyDescent="0.25">
      <c r="B68" s="14" t="s">
        <v>42</v>
      </c>
      <c r="C68" s="28">
        <v>4463.1915929999996</v>
      </c>
      <c r="D68" s="28">
        <v>1722.3377860000001</v>
      </c>
      <c r="E68" s="28">
        <v>928.39786700000002</v>
      </c>
      <c r="F68" s="28">
        <v>13517</v>
      </c>
      <c r="G68" s="28">
        <f t="shared" si="0"/>
        <v>20630.927245999999</v>
      </c>
    </row>
    <row r="69" spans="2:8" x14ac:dyDescent="0.25">
      <c r="B69" s="14" t="s">
        <v>43</v>
      </c>
      <c r="C69" s="28">
        <v>40.297952282547399</v>
      </c>
      <c r="D69" s="28">
        <v>55.48469842314541</v>
      </c>
      <c r="E69" s="28">
        <v>50</v>
      </c>
      <c r="F69" s="28">
        <v>42</v>
      </c>
      <c r="G69" s="28">
        <f>AVERAGE(C69:F69)</f>
        <v>46.945662676423204</v>
      </c>
    </row>
    <row r="70" spans="2:8" x14ac:dyDescent="0.25">
      <c r="B70" s="14" t="s">
        <v>44</v>
      </c>
      <c r="C70" s="28">
        <v>102601</v>
      </c>
      <c r="D70" s="28">
        <v>83364</v>
      </c>
      <c r="E70" s="28">
        <v>53087</v>
      </c>
      <c r="F70" s="28">
        <v>230333</v>
      </c>
      <c r="G70" s="28">
        <f t="shared" si="0"/>
        <v>469385</v>
      </c>
    </row>
    <row r="71" spans="2:8" x14ac:dyDescent="0.25">
      <c r="B71" s="14" t="s">
        <v>115</v>
      </c>
      <c r="C71" s="28">
        <v>91936.502993000002</v>
      </c>
      <c r="D71" s="28">
        <v>80143.345887999996</v>
      </c>
      <c r="E71" s="28">
        <v>50498.893676</v>
      </c>
      <c r="F71" s="28">
        <v>182146</v>
      </c>
      <c r="G71" s="11">
        <f t="shared" si="0"/>
        <v>404724.74255700002</v>
      </c>
    </row>
    <row r="72" spans="2:8" x14ac:dyDescent="0.25">
      <c r="B72" s="82" t="s">
        <v>47</v>
      </c>
      <c r="C72" s="83"/>
      <c r="D72" s="83"/>
      <c r="E72" s="83"/>
      <c r="F72" s="83"/>
      <c r="G72" s="84"/>
    </row>
    <row r="73" spans="2:8" x14ac:dyDescent="0.25">
      <c r="B73" s="18" t="s">
        <v>116</v>
      </c>
      <c r="C73" s="19">
        <f>+C55+C67</f>
        <v>70968</v>
      </c>
      <c r="D73" s="19">
        <f>+D67+D61+D55</f>
        <v>5650</v>
      </c>
      <c r="E73" s="19">
        <f t="shared" ref="E73:E74" si="1">+E67+E61+E55</f>
        <v>2198</v>
      </c>
      <c r="F73" s="19">
        <f>+F55+F67</f>
        <v>14650</v>
      </c>
      <c r="G73" s="19">
        <f>SUM(C73:F73)</f>
        <v>93466</v>
      </c>
    </row>
    <row r="74" spans="2:8" x14ac:dyDescent="0.25">
      <c r="B74" s="18" t="s">
        <v>42</v>
      </c>
      <c r="C74" s="19">
        <f>+C56+C68</f>
        <v>73794.753972999999</v>
      </c>
      <c r="D74" s="19">
        <f t="shared" ref="D74:E77" si="2">+D68+D62+D56</f>
        <v>8000.1283650000005</v>
      </c>
      <c r="E74" s="19">
        <f t="shared" si="1"/>
        <v>3031.4738820000002</v>
      </c>
      <c r="F74" s="19">
        <f>+F56+F68</f>
        <v>21601</v>
      </c>
      <c r="G74" s="22">
        <f>SUM(C74:F74)</f>
        <v>106427.35622</v>
      </c>
    </row>
    <row r="75" spans="2:8" x14ac:dyDescent="0.25">
      <c r="B75" s="18" t="s">
        <v>43</v>
      </c>
      <c r="C75" s="19">
        <v>0</v>
      </c>
      <c r="D75" s="19">
        <f>(+D57+D63+D69)/3</f>
        <v>32.224427540768751</v>
      </c>
      <c r="E75" s="19">
        <v>0</v>
      </c>
      <c r="F75" s="19">
        <f>(F57+F69)/2</f>
        <v>37</v>
      </c>
      <c r="G75" s="19">
        <f>AVERAGE(C75:F75)</f>
        <v>17.306106885192186</v>
      </c>
    </row>
    <row r="76" spans="2:8" x14ac:dyDescent="0.25">
      <c r="B76" s="18" t="s">
        <v>44</v>
      </c>
      <c r="C76" s="19">
        <f>+C58+C70</f>
        <v>757986</v>
      </c>
      <c r="D76" s="19">
        <f t="shared" si="2"/>
        <v>229345</v>
      </c>
      <c r="E76" s="19">
        <f t="shared" si="2"/>
        <v>101464</v>
      </c>
      <c r="F76" s="19">
        <f>+F58+F70</f>
        <v>293464</v>
      </c>
      <c r="G76" s="19">
        <f>SUM(C76:F76)</f>
        <v>1382259</v>
      </c>
    </row>
    <row r="77" spans="2:8" x14ac:dyDescent="0.25">
      <c r="B77" s="18" t="s">
        <v>115</v>
      </c>
      <c r="C77" s="19">
        <f>+C59+C71</f>
        <v>1657380.7986309999</v>
      </c>
      <c r="D77" s="19">
        <f>+D71+D65+D59</f>
        <v>370217.70543499995</v>
      </c>
      <c r="E77" s="19">
        <f t="shared" si="2"/>
        <v>152089.63071100001</v>
      </c>
      <c r="F77" s="19">
        <f>+F59+F71</f>
        <v>307899</v>
      </c>
      <c r="G77" s="22">
        <f>SUM(C77:F77)</f>
        <v>2487587.1347769997</v>
      </c>
    </row>
    <row r="78" spans="2:8" x14ac:dyDescent="0.25">
      <c r="B78" s="69"/>
      <c r="C78" s="69"/>
      <c r="D78" s="69"/>
      <c r="E78" s="69"/>
      <c r="F78" s="69"/>
      <c r="G78" s="69"/>
      <c r="H78" s="69"/>
    </row>
    <row r="79" spans="2:8" x14ac:dyDescent="0.25">
      <c r="B79" s="74" t="s">
        <v>48</v>
      </c>
      <c r="C79" s="75"/>
      <c r="D79" s="75"/>
      <c r="E79" s="75"/>
      <c r="F79" s="75"/>
      <c r="G79" s="76"/>
    </row>
    <row r="80" spans="2:8" x14ac:dyDescent="0.25">
      <c r="B80" s="70" t="s">
        <v>40</v>
      </c>
      <c r="C80" s="71"/>
      <c r="D80" s="71"/>
      <c r="E80" s="71"/>
      <c r="F80" s="71"/>
      <c r="G80" s="72"/>
    </row>
    <row r="81" spans="2:7" x14ac:dyDescent="0.25">
      <c r="B81" s="14" t="s">
        <v>41</v>
      </c>
      <c r="C81" s="24">
        <v>0</v>
      </c>
      <c r="D81" s="14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42</v>
      </c>
      <c r="C82" s="24">
        <v>0</v>
      </c>
      <c r="D82" s="14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43</v>
      </c>
      <c r="C83" s="24">
        <v>0</v>
      </c>
      <c r="D83" s="14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44</v>
      </c>
      <c r="C84" s="24">
        <v>1048</v>
      </c>
      <c r="D84" s="24">
        <v>128</v>
      </c>
      <c r="E84" s="24">
        <v>6</v>
      </c>
      <c r="F84" s="24">
        <v>104</v>
      </c>
      <c r="G84" s="24">
        <f>SUM(C84:F84)</f>
        <v>1286</v>
      </c>
    </row>
    <row r="85" spans="2:7" x14ac:dyDescent="0.25">
      <c r="B85" s="14" t="s">
        <v>115</v>
      </c>
      <c r="C85" s="24">
        <v>21505.902737</v>
      </c>
      <c r="D85" s="24">
        <v>1514</v>
      </c>
      <c r="E85" s="24">
        <v>76</v>
      </c>
      <c r="F85" s="28">
        <v>1882.8768869999999</v>
      </c>
      <c r="G85" s="11">
        <f>SUM(C85:F85)</f>
        <v>24978.779623999999</v>
      </c>
    </row>
    <row r="86" spans="2:7" x14ac:dyDescent="0.25">
      <c r="B86" s="70" t="s">
        <v>45</v>
      </c>
      <c r="C86" s="71"/>
      <c r="D86" s="71"/>
      <c r="E86" s="71"/>
      <c r="F86" s="71"/>
      <c r="G86" s="72"/>
    </row>
    <row r="87" spans="2:7" x14ac:dyDescent="0.25">
      <c r="B87" s="14" t="s">
        <v>41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42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43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44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115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0" t="s">
        <v>46</v>
      </c>
      <c r="C92" s="71"/>
      <c r="D92" s="71"/>
      <c r="E92" s="71"/>
      <c r="F92" s="71"/>
      <c r="G92" s="72"/>
    </row>
    <row r="93" spans="2:7" x14ac:dyDescent="0.25">
      <c r="B93" s="14" t="s">
        <v>41</v>
      </c>
      <c r="C93" s="28">
        <v>0</v>
      </c>
      <c r="D93" s="20">
        <v>0</v>
      </c>
      <c r="E93" s="20">
        <v>0</v>
      </c>
      <c r="F93" s="24">
        <v>0</v>
      </c>
      <c r="G93" s="28">
        <f>SUM(C93:F93)</f>
        <v>0</v>
      </c>
    </row>
    <row r="94" spans="2:7" x14ac:dyDescent="0.25">
      <c r="B94" s="14" t="s">
        <v>42</v>
      </c>
      <c r="C94" s="28">
        <v>0</v>
      </c>
      <c r="D94" s="20">
        <v>0</v>
      </c>
      <c r="E94" s="20">
        <v>0</v>
      </c>
      <c r="F94" s="24">
        <v>0</v>
      </c>
      <c r="G94" s="28">
        <f>SUM(C94:F94)</f>
        <v>0</v>
      </c>
    </row>
    <row r="95" spans="2:7" x14ac:dyDescent="0.25">
      <c r="B95" s="14" t="s">
        <v>43</v>
      </c>
      <c r="C95" s="29">
        <v>0</v>
      </c>
      <c r="D95" s="20">
        <v>0</v>
      </c>
      <c r="E95" s="20">
        <v>0</v>
      </c>
      <c r="F95" s="24">
        <v>0</v>
      </c>
      <c r="G95" s="28">
        <f>AVERAGE(C95:F95)</f>
        <v>0</v>
      </c>
    </row>
    <row r="96" spans="2:7" x14ac:dyDescent="0.25">
      <c r="B96" s="14" t="s">
        <v>44</v>
      </c>
      <c r="C96" s="24">
        <v>12</v>
      </c>
      <c r="D96" s="20">
        <v>0</v>
      </c>
      <c r="E96" s="33">
        <v>0</v>
      </c>
      <c r="F96" s="24">
        <v>7</v>
      </c>
      <c r="G96" s="28">
        <f>SUM(C96:F96)</f>
        <v>19</v>
      </c>
    </row>
    <row r="97" spans="2:8" x14ac:dyDescent="0.25">
      <c r="B97" s="14" t="s">
        <v>115</v>
      </c>
      <c r="C97" s="24">
        <v>184.59619000000001</v>
      </c>
      <c r="D97" s="20">
        <v>0</v>
      </c>
      <c r="E97" s="33">
        <v>0</v>
      </c>
      <c r="F97" s="24">
        <v>89.716089999999994</v>
      </c>
      <c r="G97" s="11">
        <f>SUM(C97:F97)</f>
        <v>274.31227999999999</v>
      </c>
    </row>
    <row r="98" spans="2:8" x14ac:dyDescent="0.25">
      <c r="B98" s="82" t="s">
        <v>49</v>
      </c>
      <c r="C98" s="83"/>
      <c r="D98" s="83"/>
      <c r="E98" s="83"/>
      <c r="F98" s="83"/>
      <c r="G98" s="84"/>
    </row>
    <row r="99" spans="2:8" x14ac:dyDescent="0.25">
      <c r="B99" s="18" t="s">
        <v>41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42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43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44</v>
      </c>
      <c r="C102" s="19">
        <f>+C96+C84</f>
        <v>1060</v>
      </c>
      <c r="D102" s="19">
        <f t="shared" ref="D102:D103" si="3">+D96+D90+D84</f>
        <v>128</v>
      </c>
      <c r="E102" s="19">
        <f>+E84</f>
        <v>6</v>
      </c>
      <c r="F102" s="27">
        <v>0</v>
      </c>
      <c r="G102" s="19">
        <f>SUM(C102:F102)</f>
        <v>1194</v>
      </c>
    </row>
    <row r="103" spans="2:8" x14ac:dyDescent="0.25">
      <c r="B103" s="18" t="s">
        <v>115</v>
      </c>
      <c r="C103" s="19">
        <f>+C97+C85</f>
        <v>21690.498927000001</v>
      </c>
      <c r="D103" s="19">
        <f t="shared" si="3"/>
        <v>1514</v>
      </c>
      <c r="E103" s="19">
        <f>+E85</f>
        <v>76</v>
      </c>
      <c r="F103" s="19">
        <v>0</v>
      </c>
      <c r="G103" s="22">
        <f>SUM(C103:F103)</f>
        <v>23280.498927000001</v>
      </c>
    </row>
    <row r="104" spans="2:8" x14ac:dyDescent="0.25">
      <c r="B104" s="69"/>
      <c r="C104" s="69"/>
      <c r="D104" s="69"/>
      <c r="E104" s="69"/>
      <c r="F104" s="69"/>
      <c r="G104" s="69"/>
      <c r="H104" s="69"/>
    </row>
    <row r="105" spans="2:8" x14ac:dyDescent="0.25">
      <c r="B105" s="68" t="s">
        <v>50</v>
      </c>
      <c r="C105" s="68"/>
      <c r="D105" s="68"/>
      <c r="E105" s="68"/>
      <c r="F105" s="68"/>
      <c r="G105" s="68"/>
    </row>
    <row r="106" spans="2:8" x14ac:dyDescent="0.25">
      <c r="B106" s="73" t="s">
        <v>51</v>
      </c>
      <c r="C106" s="73"/>
      <c r="D106" s="73"/>
      <c r="E106" s="73"/>
      <c r="F106" s="73"/>
      <c r="G106" s="73"/>
    </row>
    <row r="107" spans="2:8" x14ac:dyDescent="0.25">
      <c r="B107" s="14" t="s">
        <v>52</v>
      </c>
      <c r="C107" s="11">
        <v>2.3491610034930099</v>
      </c>
      <c r="D107" s="13">
        <v>2.4180000000000339</v>
      </c>
      <c r="E107" s="31">
        <v>2.46</v>
      </c>
      <c r="F107" s="32">
        <v>2.4500000000000002</v>
      </c>
      <c r="G107" s="13">
        <f>AVERAGE(C107:F107)</f>
        <v>2.419290250873261</v>
      </c>
    </row>
    <row r="108" spans="2:8" x14ac:dyDescent="0.25">
      <c r="B108" s="14" t="s">
        <v>53</v>
      </c>
      <c r="C108" s="11">
        <v>1.7925936242646701</v>
      </c>
      <c r="D108" s="13">
        <v>2.4300514800515098</v>
      </c>
      <c r="E108" s="32">
        <v>2.4500000000000002</v>
      </c>
      <c r="F108" s="32">
        <v>2.4500000000000002</v>
      </c>
      <c r="G108" s="13">
        <f>AVERAGE(C108:F108)</f>
        <v>2.2806612760790452</v>
      </c>
    </row>
    <row r="109" spans="2:8" x14ac:dyDescent="0.25">
      <c r="B109" s="14" t="s">
        <v>54</v>
      </c>
      <c r="C109" s="38">
        <v>1.6894226235802701</v>
      </c>
      <c r="D109" s="13">
        <v>2.519741697417007</v>
      </c>
      <c r="E109" s="31">
        <v>2.59</v>
      </c>
      <c r="F109" s="32">
        <v>2.4500000000000002</v>
      </c>
      <c r="G109" s="13">
        <f>AVERAGE(C109:F109)</f>
        <v>2.3122910802493193</v>
      </c>
    </row>
    <row r="110" spans="2:8" x14ac:dyDescent="0.25">
      <c r="B110" s="73" t="s">
        <v>55</v>
      </c>
      <c r="C110" s="73"/>
      <c r="D110" s="73"/>
      <c r="E110" s="73"/>
      <c r="F110" s="73"/>
      <c r="G110" s="73"/>
    </row>
    <row r="111" spans="2:8" x14ac:dyDescent="0.25">
      <c r="B111" s="14" t="s">
        <v>52</v>
      </c>
      <c r="C111" s="13">
        <v>1.1366037735849099</v>
      </c>
      <c r="D111" s="13">
        <v>2.16</v>
      </c>
      <c r="E111" s="31">
        <v>1.1000000000000001</v>
      </c>
      <c r="F111" s="13">
        <v>1.19</v>
      </c>
      <c r="G111" s="13">
        <f>AVERAGE(C111:F111)</f>
        <v>1.3966509433962275</v>
      </c>
    </row>
    <row r="112" spans="2:8" x14ac:dyDescent="0.25">
      <c r="B112" s="14" t="s">
        <v>53</v>
      </c>
      <c r="C112" s="13">
        <v>1.17987987987989</v>
      </c>
      <c r="D112" s="13">
        <v>2.1599999999999984</v>
      </c>
      <c r="E112" s="31">
        <v>2.0499999999999998</v>
      </c>
      <c r="F112" s="13">
        <v>1.88</v>
      </c>
      <c r="G112" s="13">
        <f>AVERAGE(C112:F112)</f>
        <v>1.8174699699699721</v>
      </c>
    </row>
    <row r="113" spans="2:9" x14ac:dyDescent="0.25">
      <c r="B113" s="14" t="s">
        <v>54</v>
      </c>
      <c r="C113" s="13">
        <v>1.2835128388017101</v>
      </c>
      <c r="D113" s="13">
        <v>2.1600000000000041</v>
      </c>
      <c r="E113" s="31">
        <v>2.16</v>
      </c>
      <c r="F113" s="31">
        <v>2.04</v>
      </c>
      <c r="G113" s="13">
        <f>AVERAGE(C113:F113)</f>
        <v>1.9108782097004287</v>
      </c>
    </row>
    <row r="114" spans="2:9" x14ac:dyDescent="0.25">
      <c r="B114" s="69"/>
      <c r="C114" s="69"/>
      <c r="D114" s="69"/>
      <c r="E114" s="69"/>
      <c r="F114" s="69"/>
      <c r="G114" s="69"/>
      <c r="H114" s="69"/>
      <c r="I114" s="69"/>
    </row>
    <row r="115" spans="2:9" x14ac:dyDescent="0.25">
      <c r="B115" s="73" t="s">
        <v>56</v>
      </c>
      <c r="C115" s="73"/>
      <c r="D115" s="73"/>
      <c r="E115" s="73"/>
      <c r="F115" s="73"/>
      <c r="G115" s="73"/>
    </row>
    <row r="116" spans="2:9" x14ac:dyDescent="0.25">
      <c r="B116" s="14" t="s">
        <v>52</v>
      </c>
      <c r="C116" s="13">
        <v>1.3511102106969299</v>
      </c>
      <c r="D116" s="13">
        <v>1.7900000000000003</v>
      </c>
      <c r="E116" s="32">
        <v>1.78</v>
      </c>
      <c r="F116" s="11">
        <v>1.77</v>
      </c>
      <c r="G116" s="13">
        <f>AVERAGE(C116:F116)</f>
        <v>1.6727775526742326</v>
      </c>
    </row>
    <row r="117" spans="2:9" x14ac:dyDescent="0.25">
      <c r="B117" s="14" t="s">
        <v>53</v>
      </c>
      <c r="C117" s="13">
        <v>1.4462427745664901</v>
      </c>
      <c r="D117" s="13">
        <v>1.7900000000000067</v>
      </c>
      <c r="E117" s="32">
        <v>1.78</v>
      </c>
      <c r="F117" s="11">
        <v>1.77</v>
      </c>
      <c r="G117" s="13">
        <f>AVERAGE(C117:F117)</f>
        <v>1.6965606936416244</v>
      </c>
    </row>
    <row r="118" spans="2:9" x14ac:dyDescent="0.25">
      <c r="B118" s="14" t="s">
        <v>54</v>
      </c>
      <c r="C118" s="13">
        <v>1.4866186797752901</v>
      </c>
      <c r="D118" s="13">
        <v>1.7881919191918874</v>
      </c>
      <c r="E118" s="32">
        <v>1.79</v>
      </c>
      <c r="F118" s="11">
        <v>1.7925936242646701</v>
      </c>
      <c r="G118" s="13">
        <f>AVERAGE(C118:F118)</f>
        <v>1.714351055807962</v>
      </c>
    </row>
    <row r="119" spans="2:9" x14ac:dyDescent="0.25">
      <c r="B119" s="70" t="s">
        <v>57</v>
      </c>
      <c r="C119" s="71"/>
      <c r="D119" s="71"/>
      <c r="E119" s="71"/>
      <c r="F119" s="71"/>
      <c r="G119" s="72"/>
    </row>
    <row r="120" spans="2:9" x14ac:dyDescent="0.25">
      <c r="B120" s="14" t="s">
        <v>52</v>
      </c>
      <c r="C120" s="13">
        <v>0</v>
      </c>
      <c r="D120" s="13">
        <v>1.43</v>
      </c>
      <c r="E120" s="31">
        <v>0</v>
      </c>
      <c r="F120" s="13">
        <v>0.39</v>
      </c>
      <c r="G120" s="13">
        <f>AVERAGE(C120:F120)</f>
        <v>0.45499999999999996</v>
      </c>
    </row>
    <row r="121" spans="2:9" x14ac:dyDescent="0.25">
      <c r="B121" s="14" t="s">
        <v>53</v>
      </c>
      <c r="C121" s="13">
        <v>1.1499999999999999</v>
      </c>
      <c r="D121" s="13">
        <v>1.43</v>
      </c>
      <c r="E121" s="31">
        <v>0</v>
      </c>
      <c r="F121" s="13">
        <v>1.36</v>
      </c>
      <c r="G121" s="13">
        <f>AVERAGE(C121:F121)</f>
        <v>0.9850000000000001</v>
      </c>
    </row>
    <row r="122" spans="2:9" x14ac:dyDescent="0.25">
      <c r="B122" s="14" t="s">
        <v>54</v>
      </c>
      <c r="C122" s="13">
        <v>1.22</v>
      </c>
      <c r="D122" s="13">
        <v>1.43</v>
      </c>
      <c r="E122" s="31">
        <v>1.4</v>
      </c>
      <c r="F122" s="13">
        <v>1.34</v>
      </c>
      <c r="G122" s="13">
        <f>AVERAGE(C122:F122)</f>
        <v>1.3474999999999999</v>
      </c>
    </row>
    <row r="123" spans="2:9" x14ac:dyDescent="0.25">
      <c r="B123" s="69"/>
      <c r="C123" s="69"/>
      <c r="D123" s="69"/>
      <c r="E123" s="69"/>
      <c r="F123" s="69"/>
      <c r="G123" s="69"/>
      <c r="H123" s="69"/>
    </row>
    <row r="124" spans="2:9" x14ac:dyDescent="0.25">
      <c r="B124" s="74" t="s">
        <v>58</v>
      </c>
      <c r="C124" s="75"/>
      <c r="D124" s="75"/>
      <c r="E124" s="75"/>
      <c r="F124" s="75"/>
      <c r="G124" s="76"/>
    </row>
    <row r="125" spans="2:9" x14ac:dyDescent="0.25">
      <c r="B125" s="2" t="s">
        <v>59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4" t="s">
        <v>60</v>
      </c>
      <c r="C126" s="75"/>
      <c r="D126" s="75"/>
      <c r="E126" s="75"/>
      <c r="F126" s="75"/>
      <c r="G126" s="76"/>
    </row>
    <row r="127" spans="2:9" x14ac:dyDescent="0.25">
      <c r="B127" s="3" t="s">
        <v>61</v>
      </c>
      <c r="C127" s="13">
        <v>1.48</v>
      </c>
      <c r="D127" s="42">
        <v>1.9718040035978399</v>
      </c>
      <c r="E127" s="34">
        <v>1.917068</v>
      </c>
      <c r="F127" s="4">
        <v>0</v>
      </c>
      <c r="G127" s="11">
        <f>AVERAGE(C127:E127)</f>
        <v>1.7896240011992799</v>
      </c>
    </row>
    <row r="128" spans="2:9" x14ac:dyDescent="0.25">
      <c r="B128" s="81"/>
      <c r="C128" s="81"/>
      <c r="D128" s="81"/>
      <c r="E128" s="81"/>
      <c r="F128" s="81"/>
      <c r="G128" s="81"/>
      <c r="H128" s="81"/>
    </row>
    <row r="129" spans="2:9" x14ac:dyDescent="0.25">
      <c r="B129" s="68" t="s">
        <v>62</v>
      </c>
      <c r="C129" s="68"/>
      <c r="D129" s="68"/>
      <c r="E129" s="68"/>
      <c r="F129" s="68"/>
      <c r="G129" s="68"/>
    </row>
    <row r="130" spans="2:9" x14ac:dyDescent="0.25">
      <c r="B130" s="14" t="s">
        <v>63</v>
      </c>
      <c r="C130" s="28">
        <v>276931</v>
      </c>
      <c r="D130" s="28">
        <v>4231</v>
      </c>
      <c r="E130" s="28">
        <v>8600</v>
      </c>
      <c r="F130" s="28">
        <v>833</v>
      </c>
      <c r="G130" s="28">
        <f>SUM(C130:F130)</f>
        <v>290595</v>
      </c>
    </row>
    <row r="131" spans="2:9" x14ac:dyDescent="0.25">
      <c r="B131" s="14" t="s">
        <v>64</v>
      </c>
      <c r="C131" s="28">
        <v>190543.25414599999</v>
      </c>
      <c r="D131" s="28">
        <v>4085.5314530000001</v>
      </c>
      <c r="E131" s="28">
        <v>1224</v>
      </c>
      <c r="F131" s="28">
        <v>1036.5907529999999</v>
      </c>
      <c r="G131" s="11">
        <f>SUM(C131:F131)</f>
        <v>196889.37635199999</v>
      </c>
    </row>
    <row r="132" spans="2:9" x14ac:dyDescent="0.25">
      <c r="B132" s="69"/>
      <c r="C132" s="69"/>
      <c r="D132" s="69"/>
      <c r="E132" s="69"/>
      <c r="F132" s="69"/>
      <c r="G132" s="69"/>
      <c r="H132" s="69"/>
    </row>
    <row r="133" spans="2:9" x14ac:dyDescent="0.25">
      <c r="B133" s="68" t="s">
        <v>65</v>
      </c>
      <c r="C133" s="68"/>
      <c r="D133" s="68"/>
      <c r="E133" s="68"/>
      <c r="F133" s="68"/>
      <c r="G133" s="68"/>
    </row>
    <row r="134" spans="2:9" x14ac:dyDescent="0.25">
      <c r="B134" s="14" t="s">
        <v>66</v>
      </c>
      <c r="C134" s="28">
        <v>600366</v>
      </c>
      <c r="D134" s="28">
        <v>255127</v>
      </c>
      <c r="E134" s="28">
        <f>93456+21889</f>
        <v>115345</v>
      </c>
      <c r="F134" s="28">
        <v>290470</v>
      </c>
      <c r="G134" s="28">
        <f>SUM(C134:F134)</f>
        <v>1261308</v>
      </c>
    </row>
    <row r="135" spans="2:9" x14ac:dyDescent="0.25">
      <c r="B135" s="69"/>
      <c r="C135" s="69"/>
      <c r="D135" s="69"/>
      <c r="E135" s="69"/>
      <c r="F135" s="69"/>
      <c r="G135" s="69"/>
      <c r="H135" s="69"/>
    </row>
    <row r="136" spans="2:9" ht="21" x14ac:dyDescent="0.35">
      <c r="B136" s="77" t="s">
        <v>67</v>
      </c>
      <c r="C136" s="77"/>
      <c r="D136" s="77"/>
      <c r="E136" s="77"/>
      <c r="F136" s="77"/>
      <c r="G136" s="77"/>
    </row>
    <row r="137" spans="2:9" x14ac:dyDescent="0.25">
      <c r="B137" s="68" t="s">
        <v>68</v>
      </c>
      <c r="C137" s="68"/>
      <c r="D137" s="68"/>
      <c r="E137" s="68"/>
      <c r="F137" s="68"/>
      <c r="G137" s="68"/>
    </row>
    <row r="138" spans="2:9" x14ac:dyDescent="0.25">
      <c r="B138" s="14" t="s">
        <v>69</v>
      </c>
      <c r="C138" s="28">
        <v>0</v>
      </c>
      <c r="D138" s="28">
        <v>6583</v>
      </c>
      <c r="E138" s="28">
        <v>0</v>
      </c>
      <c r="F138" s="28">
        <v>15646</v>
      </c>
      <c r="G138" s="28">
        <f>SUM(C138:F138)</f>
        <v>22229</v>
      </c>
      <c r="H138" s="7"/>
      <c r="I138" s="7"/>
    </row>
    <row r="139" spans="2:9" x14ac:dyDescent="0.25">
      <c r="B139" s="14" t="s">
        <v>70</v>
      </c>
      <c r="C139" s="28">
        <v>0</v>
      </c>
      <c r="D139" s="28">
        <v>3</v>
      </c>
      <c r="E139" s="28">
        <v>0</v>
      </c>
      <c r="F139" s="28">
        <v>77</v>
      </c>
      <c r="G139" s="28">
        <f>SUM(C139:F139)</f>
        <v>80</v>
      </c>
      <c r="H139" s="7"/>
      <c r="I139" s="7"/>
    </row>
    <row r="140" spans="2:9" x14ac:dyDescent="0.25">
      <c r="B140" s="69"/>
      <c r="C140" s="69"/>
      <c r="D140" s="69"/>
      <c r="E140" s="69"/>
      <c r="F140" s="69"/>
      <c r="G140" s="69"/>
      <c r="H140" s="69"/>
      <c r="I140" s="7"/>
    </row>
    <row r="141" spans="2:9" x14ac:dyDescent="0.25">
      <c r="B141" s="69"/>
      <c r="C141" s="69"/>
      <c r="D141" s="69"/>
      <c r="E141" s="69"/>
      <c r="F141" s="69"/>
      <c r="G141" s="69"/>
      <c r="H141" s="69"/>
    </row>
    <row r="142" spans="2:9" ht="21" x14ac:dyDescent="0.35">
      <c r="B142" s="78" t="s">
        <v>71</v>
      </c>
      <c r="C142" s="79"/>
      <c r="D142" s="79"/>
      <c r="E142" s="79"/>
      <c r="F142" s="79"/>
      <c r="G142" s="80"/>
    </row>
    <row r="143" spans="2:9" x14ac:dyDescent="0.25">
      <c r="B143" s="74" t="s">
        <v>72</v>
      </c>
      <c r="C143" s="75"/>
      <c r="D143" s="75"/>
      <c r="E143" s="75"/>
      <c r="F143" s="75"/>
      <c r="G143" s="76"/>
    </row>
    <row r="144" spans="2:9" x14ac:dyDescent="0.25">
      <c r="B144" s="69"/>
      <c r="C144" s="69"/>
      <c r="D144" s="69"/>
      <c r="E144" s="69"/>
      <c r="F144" s="69"/>
      <c r="G144" s="69"/>
      <c r="H144" s="69"/>
    </row>
    <row r="145" spans="2:8" x14ac:dyDescent="0.25">
      <c r="B145" s="73" t="s">
        <v>73</v>
      </c>
      <c r="C145" s="73"/>
      <c r="D145" s="73"/>
      <c r="E145" s="73"/>
      <c r="F145" s="73"/>
      <c r="G145" s="73"/>
    </row>
    <row r="146" spans="2:8" x14ac:dyDescent="0.25">
      <c r="B146" s="14" t="s">
        <v>74</v>
      </c>
      <c r="C146" s="28">
        <v>0</v>
      </c>
      <c r="D146" s="28">
        <v>4156</v>
      </c>
      <c r="E146" s="28">
        <v>0</v>
      </c>
      <c r="F146" s="28">
        <v>1610</v>
      </c>
      <c r="G146" s="28">
        <f>SUM(C146:F146)</f>
        <v>5766</v>
      </c>
    </row>
    <row r="147" spans="2:8" x14ac:dyDescent="0.25">
      <c r="B147" s="14" t="s">
        <v>75</v>
      </c>
      <c r="C147" s="28">
        <v>0</v>
      </c>
      <c r="D147" s="28">
        <v>90.784999999999997</v>
      </c>
      <c r="E147" s="28">
        <v>0</v>
      </c>
      <c r="F147" s="28">
        <v>20.194749999999999</v>
      </c>
      <c r="G147" s="11">
        <f>SUM(C147:F147)</f>
        <v>110.97975</v>
      </c>
    </row>
    <row r="148" spans="2:8" x14ac:dyDescent="0.25">
      <c r="B148" s="69"/>
      <c r="C148" s="69"/>
      <c r="D148" s="69"/>
      <c r="E148" s="69"/>
      <c r="F148" s="69"/>
      <c r="G148" s="69"/>
      <c r="H148" s="69"/>
    </row>
    <row r="149" spans="2:8" x14ac:dyDescent="0.25">
      <c r="B149" s="73" t="s">
        <v>76</v>
      </c>
      <c r="C149" s="73"/>
      <c r="D149" s="73"/>
      <c r="E149" s="73"/>
      <c r="F149" s="73"/>
      <c r="G149" s="73"/>
    </row>
    <row r="150" spans="2:8" x14ac:dyDescent="0.25">
      <c r="B150" s="14" t="s">
        <v>77</v>
      </c>
      <c r="C150" s="28">
        <v>0</v>
      </c>
      <c r="D150" s="28">
        <v>1</v>
      </c>
      <c r="E150" s="28">
        <v>1</v>
      </c>
      <c r="F150" s="28">
        <v>0</v>
      </c>
      <c r="G150" s="28">
        <f>SUM(C150:F150)</f>
        <v>2</v>
      </c>
      <c r="H150"/>
    </row>
    <row r="151" spans="2:8" x14ac:dyDescent="0.25">
      <c r="B151" s="14" t="s">
        <v>78</v>
      </c>
      <c r="C151" s="28">
        <v>0</v>
      </c>
      <c r="D151" s="28">
        <v>0.12</v>
      </c>
      <c r="E151" s="28">
        <f>11000/1000000</f>
        <v>1.0999999999999999E-2</v>
      </c>
      <c r="F151" s="28">
        <v>0</v>
      </c>
      <c r="G151" s="11">
        <f>SUM(C151:F151)</f>
        <v>0.13100000000000001</v>
      </c>
      <c r="H151"/>
    </row>
    <row r="152" spans="2:8" x14ac:dyDescent="0.25">
      <c r="B152" s="69"/>
      <c r="C152" s="69"/>
      <c r="D152" s="69"/>
      <c r="E152" s="69"/>
      <c r="F152" s="69"/>
      <c r="G152" s="69"/>
      <c r="H152" s="69"/>
    </row>
    <row r="153" spans="2:8" x14ac:dyDescent="0.25">
      <c r="B153" s="73" t="s">
        <v>79</v>
      </c>
      <c r="C153" s="73"/>
      <c r="D153" s="73"/>
      <c r="E153" s="73"/>
      <c r="F153" s="73"/>
      <c r="G153" s="73"/>
    </row>
    <row r="154" spans="2:8" x14ac:dyDescent="0.25">
      <c r="B154" s="14" t="s">
        <v>80</v>
      </c>
      <c r="C154" s="14">
        <v>0</v>
      </c>
      <c r="D154" s="28">
        <v>86</v>
      </c>
      <c r="E154" s="36">
        <v>0</v>
      </c>
      <c r="F154" s="35">
        <v>0</v>
      </c>
      <c r="G154" s="28">
        <f>SUM(C154:F154)</f>
        <v>86</v>
      </c>
      <c r="H154"/>
    </row>
    <row r="155" spans="2:8" x14ac:dyDescent="0.25">
      <c r="B155" s="14" t="s">
        <v>81</v>
      </c>
      <c r="C155" s="28">
        <v>0</v>
      </c>
      <c r="D155" s="28">
        <v>1.23</v>
      </c>
      <c r="E155" s="36">
        <v>0</v>
      </c>
      <c r="F155" s="35">
        <v>0</v>
      </c>
      <c r="G155" s="11">
        <f>SUM(C155:F155)</f>
        <v>1.23</v>
      </c>
      <c r="H155"/>
    </row>
    <row r="156" spans="2:8" x14ac:dyDescent="0.25">
      <c r="B156" s="69"/>
      <c r="C156" s="69"/>
      <c r="D156" s="69"/>
      <c r="E156" s="69"/>
      <c r="F156" s="69"/>
      <c r="G156" s="69"/>
      <c r="H156" s="69"/>
    </row>
    <row r="157" spans="2:8" x14ac:dyDescent="0.25">
      <c r="B157" s="70" t="s">
        <v>82</v>
      </c>
      <c r="C157" s="71"/>
      <c r="D157" s="71"/>
      <c r="E157" s="71"/>
      <c r="F157" s="71"/>
      <c r="G157" s="72"/>
    </row>
    <row r="158" spans="2:8" x14ac:dyDescent="0.25">
      <c r="B158" s="18" t="s">
        <v>83</v>
      </c>
      <c r="C158" s="19">
        <v>0</v>
      </c>
      <c r="D158" s="19">
        <f>D146+D150+D154</f>
        <v>4243</v>
      </c>
      <c r="E158" s="19">
        <v>1</v>
      </c>
      <c r="F158" s="19">
        <f>F146+F154</f>
        <v>1610</v>
      </c>
      <c r="G158" s="19">
        <f>SUM(C158:F158)</f>
        <v>5854</v>
      </c>
    </row>
    <row r="159" spans="2:8" x14ac:dyDescent="0.25">
      <c r="B159" s="18" t="s">
        <v>84</v>
      </c>
      <c r="C159" s="19">
        <v>0</v>
      </c>
      <c r="D159" s="19">
        <f>D147+D151+D155</f>
        <v>92.135000000000005</v>
      </c>
      <c r="E159" s="19">
        <v>1.0999999999999999E-2</v>
      </c>
      <c r="F159" s="19">
        <f>F147+F155</f>
        <v>20.194749999999999</v>
      </c>
      <c r="G159" s="22">
        <f>SUM(C159:F159)</f>
        <v>112.34075</v>
      </c>
    </row>
    <row r="160" spans="2:8" x14ac:dyDescent="0.25">
      <c r="B160" s="69"/>
      <c r="C160" s="69"/>
      <c r="D160" s="69"/>
      <c r="E160" s="69"/>
      <c r="F160" s="69"/>
      <c r="G160" s="69"/>
      <c r="H160" s="69"/>
    </row>
    <row r="161" spans="2:8" x14ac:dyDescent="0.25">
      <c r="B161" s="68" t="s">
        <v>85</v>
      </c>
      <c r="C161" s="68"/>
      <c r="D161" s="68"/>
      <c r="E161" s="68"/>
      <c r="F161" s="68"/>
      <c r="G161" s="68"/>
    </row>
    <row r="162" spans="2:8" x14ac:dyDescent="0.25">
      <c r="B162" s="14" t="s">
        <v>80</v>
      </c>
      <c r="C162" s="28">
        <v>3275</v>
      </c>
      <c r="D162" s="28">
        <v>38683</v>
      </c>
      <c r="E162" s="28">
        <v>3515</v>
      </c>
      <c r="F162" s="28">
        <v>19170</v>
      </c>
      <c r="G162" s="28">
        <f>SUM(C162:F162)</f>
        <v>64643</v>
      </c>
    </row>
    <row r="163" spans="2:8" x14ac:dyDescent="0.25">
      <c r="B163" s="14" t="s">
        <v>81</v>
      </c>
      <c r="C163" s="28">
        <f>81312028/1000000</f>
        <v>81.312027999999998</v>
      </c>
      <c r="D163" s="28">
        <v>221.08519799999996</v>
      </c>
      <c r="E163" s="28">
        <f>54601588/1000000</f>
        <v>54.601588</v>
      </c>
      <c r="F163" s="28">
        <v>120.332885</v>
      </c>
      <c r="G163" s="11">
        <f>SUM(C163:F163)</f>
        <v>477.33169899999996</v>
      </c>
    </row>
    <row r="164" spans="2:8" x14ac:dyDescent="0.25">
      <c r="B164" s="69"/>
      <c r="C164" s="69"/>
      <c r="D164" s="69"/>
      <c r="E164" s="69"/>
      <c r="F164" s="69"/>
      <c r="G164" s="69"/>
    </row>
    <row r="165" spans="2:8" x14ac:dyDescent="0.25">
      <c r="B165" s="74" t="s">
        <v>86</v>
      </c>
      <c r="C165" s="75"/>
      <c r="D165" s="75"/>
      <c r="E165" s="75"/>
      <c r="F165" s="75"/>
      <c r="G165" s="76"/>
    </row>
    <row r="166" spans="2:8" x14ac:dyDescent="0.25">
      <c r="B166" s="70" t="s">
        <v>87</v>
      </c>
      <c r="C166" s="71"/>
      <c r="D166" s="71"/>
      <c r="E166" s="71"/>
      <c r="F166" s="71"/>
      <c r="G166" s="72"/>
    </row>
    <row r="167" spans="2:8" x14ac:dyDescent="0.25">
      <c r="B167" s="14" t="s">
        <v>88</v>
      </c>
      <c r="C167" s="28">
        <v>322</v>
      </c>
      <c r="D167" s="28">
        <v>3156</v>
      </c>
      <c r="E167" s="28">
        <v>465</v>
      </c>
      <c r="F167" s="28">
        <v>518</v>
      </c>
      <c r="G167" s="28">
        <f>SUM(C167:F167)</f>
        <v>4461</v>
      </c>
    </row>
    <row r="168" spans="2:8" x14ac:dyDescent="0.25">
      <c r="B168" s="14" t="s">
        <v>89</v>
      </c>
      <c r="C168" s="28">
        <f>8050000/1000000</f>
        <v>8.0500000000000007</v>
      </c>
      <c r="D168" s="28">
        <v>71.702377999999996</v>
      </c>
      <c r="E168" s="28">
        <f>7865000/1000000</f>
        <v>7.8650000000000002</v>
      </c>
      <c r="F168" s="28">
        <v>18.975000000000001</v>
      </c>
      <c r="G168" s="11">
        <f>SUM(C168:F168)</f>
        <v>106.592378</v>
      </c>
    </row>
    <row r="169" spans="2:8" x14ac:dyDescent="0.25">
      <c r="B169" s="69"/>
      <c r="C169" s="69"/>
      <c r="D169" s="69"/>
      <c r="E169" s="69"/>
      <c r="F169" s="69"/>
      <c r="G169" s="69"/>
    </row>
    <row r="170" spans="2:8" x14ac:dyDescent="0.25">
      <c r="B170" s="70" t="s">
        <v>90</v>
      </c>
      <c r="C170" s="71"/>
      <c r="D170" s="71"/>
      <c r="E170" s="71"/>
      <c r="F170" s="71"/>
      <c r="G170" s="72"/>
    </row>
    <row r="171" spans="2:8" x14ac:dyDescent="0.25">
      <c r="B171" s="14" t="s">
        <v>91</v>
      </c>
      <c r="C171" s="28">
        <v>1412</v>
      </c>
      <c r="D171" s="28">
        <v>563</v>
      </c>
      <c r="E171" s="28">
        <v>129</v>
      </c>
      <c r="F171" s="28">
        <v>337</v>
      </c>
      <c r="G171" s="28">
        <f>SUM(C171:F171)</f>
        <v>2441</v>
      </c>
    </row>
    <row r="172" spans="2:8" x14ac:dyDescent="0.25">
      <c r="B172" s="14" t="s">
        <v>89</v>
      </c>
      <c r="C172" s="28">
        <v>31.064</v>
      </c>
      <c r="D172" s="28">
        <v>11.823</v>
      </c>
      <c r="E172" s="28">
        <f>3225000/1000000</f>
        <v>3.2250000000000001</v>
      </c>
      <c r="F172" s="28">
        <v>7.4109999999999996</v>
      </c>
      <c r="G172" s="11">
        <f>SUM(C172:F172)</f>
        <v>53.523000000000003</v>
      </c>
    </row>
    <row r="173" spans="2:8" x14ac:dyDescent="0.25">
      <c r="B173" s="69"/>
      <c r="C173" s="69"/>
      <c r="D173" s="69"/>
      <c r="E173" s="69"/>
      <c r="F173" s="69"/>
      <c r="G173" s="69"/>
      <c r="H173" s="69"/>
    </row>
    <row r="174" spans="2:8" x14ac:dyDescent="0.25">
      <c r="B174" s="70" t="s">
        <v>92</v>
      </c>
      <c r="C174" s="71"/>
      <c r="D174" s="71"/>
      <c r="E174" s="71"/>
      <c r="F174" s="71"/>
      <c r="G174" s="72"/>
    </row>
    <row r="175" spans="2:8" x14ac:dyDescent="0.25">
      <c r="B175" s="14" t="s">
        <v>91</v>
      </c>
      <c r="C175" s="28">
        <v>267</v>
      </c>
      <c r="D175" s="28">
        <v>285</v>
      </c>
      <c r="E175" s="28">
        <v>187</v>
      </c>
      <c r="F175" s="28">
        <v>45</v>
      </c>
      <c r="G175" s="28">
        <f>SUM(C175:F175)</f>
        <v>784</v>
      </c>
    </row>
    <row r="176" spans="2:8" x14ac:dyDescent="0.25">
      <c r="B176" s="14" t="s">
        <v>89</v>
      </c>
      <c r="C176" s="28">
        <v>18.690000000000001</v>
      </c>
      <c r="D176" s="28">
        <v>29.14</v>
      </c>
      <c r="E176" s="28">
        <f>10670597/1000000</f>
        <v>10.670597000000001</v>
      </c>
      <c r="F176" s="28">
        <v>4.57</v>
      </c>
      <c r="G176" s="11">
        <f>SUM(C176:F176)</f>
        <v>63.070596999999999</v>
      </c>
    </row>
    <row r="177" spans="2:8" x14ac:dyDescent="0.25">
      <c r="B177" s="69"/>
      <c r="C177" s="69"/>
      <c r="D177" s="69"/>
      <c r="E177" s="69"/>
      <c r="F177" s="69"/>
      <c r="G177" s="69"/>
      <c r="H177" s="69"/>
    </row>
    <row r="178" spans="2:8" x14ac:dyDescent="0.25">
      <c r="B178" s="70" t="s">
        <v>93</v>
      </c>
      <c r="C178" s="71"/>
      <c r="D178" s="71"/>
      <c r="E178" s="71"/>
      <c r="F178" s="71"/>
      <c r="G178" s="72"/>
    </row>
    <row r="179" spans="2:8" x14ac:dyDescent="0.25">
      <c r="B179" s="14" t="s">
        <v>91</v>
      </c>
      <c r="C179" s="28">
        <v>340</v>
      </c>
      <c r="D179" s="28">
        <v>163093</v>
      </c>
      <c r="E179" s="28">
        <v>0</v>
      </c>
      <c r="F179" s="28">
        <v>0</v>
      </c>
      <c r="G179" s="28">
        <f>SUM(C179:F179)</f>
        <v>163433</v>
      </c>
    </row>
    <row r="180" spans="2:8" x14ac:dyDescent="0.25">
      <c r="B180" s="14" t="s">
        <v>89</v>
      </c>
      <c r="C180" s="28">
        <v>10.41</v>
      </c>
      <c r="D180" s="28">
        <v>2641.5333813864381</v>
      </c>
      <c r="E180" s="28">
        <v>0</v>
      </c>
      <c r="F180" s="28">
        <v>0</v>
      </c>
      <c r="G180" s="11">
        <f>SUM(C180:F180)</f>
        <v>2651.943381386438</v>
      </c>
    </row>
    <row r="181" spans="2:8" x14ac:dyDescent="0.25">
      <c r="B181" s="69"/>
      <c r="C181" s="69"/>
      <c r="D181" s="69"/>
      <c r="E181" s="69"/>
      <c r="F181" s="69"/>
      <c r="G181" s="69"/>
      <c r="H181" s="69"/>
    </row>
    <row r="182" spans="2:8" x14ac:dyDescent="0.25">
      <c r="B182" s="68" t="s">
        <v>94</v>
      </c>
      <c r="C182" s="68"/>
      <c r="D182" s="68"/>
      <c r="E182" s="68"/>
      <c r="F182" s="68"/>
      <c r="G182" s="68"/>
    </row>
    <row r="183" spans="2:8" x14ac:dyDescent="0.25">
      <c r="B183" s="18" t="s">
        <v>95</v>
      </c>
      <c r="C183" s="19">
        <f>+C179+C175+C171+C167</f>
        <v>2341</v>
      </c>
      <c r="D183" s="19">
        <f>D167+D171+D175+D179</f>
        <v>167097</v>
      </c>
      <c r="E183" s="19">
        <f t="shared" ref="E183:E184" si="4">+E179+E175+E171+E167</f>
        <v>781</v>
      </c>
      <c r="F183" s="19">
        <f>+F179+F175+F171+F167</f>
        <v>900</v>
      </c>
      <c r="G183" s="19">
        <f>SUM(C183:F183)</f>
        <v>171119</v>
      </c>
    </row>
    <row r="184" spans="2:8" x14ac:dyDescent="0.25">
      <c r="B184" s="18" t="s">
        <v>96</v>
      </c>
      <c r="C184" s="19">
        <f>+C180+C176+C172+C168</f>
        <v>68.213999999999999</v>
      </c>
      <c r="D184" s="19">
        <f>D168+D172+D176+D180</f>
        <v>2754.1987593864383</v>
      </c>
      <c r="E184" s="19">
        <f t="shared" si="4"/>
        <v>21.760597000000001</v>
      </c>
      <c r="F184" s="19">
        <f>+F180+F176+F172+F168</f>
        <v>30.956000000000003</v>
      </c>
      <c r="G184" s="22">
        <f>SUM(C184:F184)</f>
        <v>2875.1293563864383</v>
      </c>
    </row>
    <row r="185" spans="2:8" x14ac:dyDescent="0.25">
      <c r="B185" s="69"/>
      <c r="C185" s="69"/>
      <c r="D185" s="69"/>
      <c r="E185" s="69"/>
      <c r="F185" s="69"/>
      <c r="G185" s="69"/>
      <c r="H185" s="69"/>
    </row>
    <row r="186" spans="2:8" x14ac:dyDescent="0.25">
      <c r="B186" s="68" t="s">
        <v>97</v>
      </c>
      <c r="C186" s="68"/>
      <c r="D186" s="68"/>
      <c r="E186" s="68"/>
      <c r="F186" s="68"/>
      <c r="G186" s="68"/>
    </row>
    <row r="187" spans="2:8" x14ac:dyDescent="0.25">
      <c r="B187" s="14" t="s">
        <v>98</v>
      </c>
      <c r="C187" s="28">
        <v>3989</v>
      </c>
      <c r="D187" s="28">
        <v>4584</v>
      </c>
      <c r="E187" s="28">
        <v>64</v>
      </c>
      <c r="F187" s="28">
        <v>21680</v>
      </c>
      <c r="G187" s="28">
        <f>SUM(C187:F187)</f>
        <v>30317</v>
      </c>
    </row>
    <row r="188" spans="2:8" x14ac:dyDescent="0.25">
      <c r="B188" s="14" t="s">
        <v>99</v>
      </c>
      <c r="C188" s="28">
        <f>36415853/1000000</f>
        <v>36.415852999999998</v>
      </c>
      <c r="D188" s="28">
        <v>97.033006999999998</v>
      </c>
      <c r="E188" s="28">
        <f>2510000/1000000</f>
        <v>2.5099999999999998</v>
      </c>
      <c r="F188" s="28">
        <v>171.48363499999999</v>
      </c>
      <c r="G188" s="11">
        <f>SUM(C188:F188)</f>
        <v>307.44249500000001</v>
      </c>
    </row>
    <row r="189" spans="2:8" x14ac:dyDescent="0.25">
      <c r="B189" s="69"/>
      <c r="C189" s="69"/>
      <c r="D189" s="69"/>
      <c r="E189" s="69"/>
      <c r="F189" s="69"/>
      <c r="G189" s="69"/>
      <c r="H189" s="69"/>
    </row>
    <row r="190" spans="2:8" x14ac:dyDescent="0.25">
      <c r="B190" s="68" t="s">
        <v>100</v>
      </c>
      <c r="C190" s="68"/>
      <c r="D190" s="68"/>
      <c r="E190" s="68"/>
      <c r="F190" s="68"/>
      <c r="G190" s="68"/>
    </row>
    <row r="191" spans="2:8" x14ac:dyDescent="0.25">
      <c r="B191" s="18" t="s">
        <v>101</v>
      </c>
      <c r="C191" s="19">
        <f>C187+C162+C183</f>
        <v>9605</v>
      </c>
      <c r="D191" s="19">
        <f>+D187+D183+D162+D158</f>
        <v>214607</v>
      </c>
      <c r="E191" s="19">
        <f t="shared" ref="E191:E192" si="5">+E187+E183+E162+E158</f>
        <v>4361</v>
      </c>
      <c r="F191" s="19">
        <f>F158+F162+F183+F187</f>
        <v>43360</v>
      </c>
      <c r="G191" s="19">
        <f>SUM(C191:F191)</f>
        <v>271933</v>
      </c>
    </row>
    <row r="192" spans="2:8" x14ac:dyDescent="0.25">
      <c r="B192" s="18" t="s">
        <v>102</v>
      </c>
      <c r="C192" s="19">
        <f>C188+C163+C184</f>
        <v>185.941881</v>
      </c>
      <c r="D192" s="19">
        <f>+D188+D184+D163+D159</f>
        <v>3164.4519643864382</v>
      </c>
      <c r="E192" s="19">
        <f t="shared" si="5"/>
        <v>78.883184999999997</v>
      </c>
      <c r="F192" s="19">
        <f>F159+F184+F163+F188</f>
        <v>342.96726999999998</v>
      </c>
      <c r="G192" s="22">
        <f>SUM(C192:F192)</f>
        <v>3772.2443003864387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G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D195"/>
  <sheetViews>
    <sheetView zoomScaleNormal="100" workbookViewId="0">
      <selection activeCell="H6" sqref="H6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7" t="s">
        <v>1</v>
      </c>
      <c r="D2" s="88"/>
      <c r="E2" s="88"/>
      <c r="F2" s="88"/>
      <c r="G2" s="89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8" t="s">
        <v>7</v>
      </c>
      <c r="C4" s="79"/>
      <c r="D4" s="79"/>
      <c r="E4" s="79"/>
      <c r="F4" s="79"/>
      <c r="G4" s="80"/>
    </row>
    <row r="5" spans="1:7" x14ac:dyDescent="0.25">
      <c r="B5" s="74" t="s">
        <v>103</v>
      </c>
      <c r="C5" s="75"/>
      <c r="D5" s="75"/>
      <c r="E5" s="75"/>
      <c r="F5" s="75"/>
      <c r="G5" s="76"/>
    </row>
    <row r="6" spans="1:7" x14ac:dyDescent="0.25">
      <c r="B6" s="4" t="s">
        <v>104</v>
      </c>
      <c r="C6" s="28">
        <v>55046</v>
      </c>
      <c r="D6" s="28">
        <v>8221</v>
      </c>
      <c r="E6" s="17">
        <v>9170</v>
      </c>
      <c r="F6" s="12">
        <v>10387</v>
      </c>
      <c r="G6" s="12">
        <f>+F6+E6+D6+C6</f>
        <v>82824</v>
      </c>
    </row>
    <row r="7" spans="1:7" x14ac:dyDescent="0.25">
      <c r="B7" s="14" t="s">
        <v>105</v>
      </c>
      <c r="C7" s="28">
        <v>520</v>
      </c>
      <c r="D7" s="28">
        <v>225</v>
      </c>
      <c r="E7" s="17">
        <v>12</v>
      </c>
      <c r="F7" s="12">
        <v>138</v>
      </c>
      <c r="G7" s="12">
        <f>+F7+E7+D7+C7</f>
        <v>895</v>
      </c>
    </row>
    <row r="8" spans="1:7" x14ac:dyDescent="0.25">
      <c r="B8" s="18" t="s">
        <v>106</v>
      </c>
      <c r="C8" s="25">
        <v>55566</v>
      </c>
      <c r="D8" s="25">
        <f>+D6+D7</f>
        <v>8446</v>
      </c>
      <c r="E8" s="25">
        <f>SUM(E6:E7)</f>
        <v>9182</v>
      </c>
      <c r="F8" s="25">
        <v>10525</v>
      </c>
      <c r="G8" s="25">
        <f>+F8+E8+D8+C8</f>
        <v>83719</v>
      </c>
    </row>
    <row r="9" spans="1:7" x14ac:dyDescent="0.25">
      <c r="B9" s="69"/>
      <c r="C9" s="69"/>
      <c r="D9" s="69"/>
      <c r="E9" s="69"/>
      <c r="F9" s="69"/>
      <c r="G9" s="69"/>
    </row>
    <row r="10" spans="1:7" x14ac:dyDescent="0.25">
      <c r="B10" s="74" t="s">
        <v>8</v>
      </c>
      <c r="C10" s="75"/>
      <c r="D10" s="75"/>
      <c r="E10" s="75"/>
      <c r="F10" s="75"/>
      <c r="G10" s="76"/>
    </row>
    <row r="11" spans="1:7" x14ac:dyDescent="0.25">
      <c r="B11" s="70" t="s">
        <v>9</v>
      </c>
      <c r="C11" s="71"/>
      <c r="D11" s="71"/>
      <c r="E11" s="71"/>
      <c r="F11" s="71"/>
      <c r="G11" s="72"/>
    </row>
    <row r="12" spans="1:7" x14ac:dyDescent="0.25">
      <c r="B12" s="16" t="s">
        <v>10</v>
      </c>
      <c r="C12" s="17">
        <v>938393</v>
      </c>
      <c r="D12" s="28">
        <v>140760</v>
      </c>
      <c r="E12" s="40">
        <v>57099</v>
      </c>
      <c r="F12" s="28">
        <v>0</v>
      </c>
      <c r="G12" s="17">
        <f>SUM(C12:F12)</f>
        <v>1136252</v>
      </c>
    </row>
    <row r="13" spans="1:7" x14ac:dyDescent="0.25">
      <c r="B13" s="16" t="s">
        <v>11</v>
      </c>
      <c r="C13" s="17">
        <v>2376892</v>
      </c>
      <c r="D13" s="28">
        <v>672511</v>
      </c>
      <c r="E13" s="40">
        <v>237825</v>
      </c>
      <c r="F13" s="28">
        <v>0</v>
      </c>
      <c r="G13" s="17">
        <f>SUM(C13:F13)</f>
        <v>3287228</v>
      </c>
    </row>
    <row r="14" spans="1:7" x14ac:dyDescent="0.25">
      <c r="B14" s="18" t="s">
        <v>12</v>
      </c>
      <c r="C14" s="19">
        <v>3315285</v>
      </c>
      <c r="D14" s="19">
        <v>1009178</v>
      </c>
      <c r="E14" s="19">
        <f>SUM(E12:E13)</f>
        <v>294924</v>
      </c>
      <c r="F14" s="19">
        <v>376038</v>
      </c>
      <c r="G14" s="19">
        <f>SUM(C14:F14)</f>
        <v>4995425</v>
      </c>
    </row>
    <row r="15" spans="1:7" x14ac:dyDescent="0.25">
      <c r="B15" s="18" t="s">
        <v>13</v>
      </c>
      <c r="C15" s="19">
        <v>430290</v>
      </c>
      <c r="D15" s="19">
        <v>150543</v>
      </c>
      <c r="E15" s="19">
        <v>2954</v>
      </c>
      <c r="F15" s="19">
        <v>95563</v>
      </c>
      <c r="G15" s="19">
        <f>SUM(C15:F15)</f>
        <v>679350</v>
      </c>
    </row>
    <row r="16" spans="1:7" x14ac:dyDescent="0.25">
      <c r="B16" s="18" t="s">
        <v>14</v>
      </c>
      <c r="C16" s="19">
        <v>3745575</v>
      </c>
      <c r="D16" s="19">
        <v>1159721</v>
      </c>
      <c r="E16" s="19">
        <f>SUM(E14:E15)</f>
        <v>297878</v>
      </c>
      <c r="F16" s="19">
        <v>471601</v>
      </c>
      <c r="G16" s="19">
        <f>SUM(C16:F16)</f>
        <v>5674775</v>
      </c>
    </row>
    <row r="17" spans="2:8" x14ac:dyDescent="0.25">
      <c r="B17" s="69"/>
      <c r="C17" s="69"/>
      <c r="D17" s="69"/>
      <c r="E17" s="69"/>
      <c r="F17" s="69"/>
      <c r="G17" s="69"/>
    </row>
    <row r="18" spans="2:8" x14ac:dyDescent="0.25">
      <c r="B18" s="70" t="s">
        <v>15</v>
      </c>
      <c r="C18" s="71"/>
      <c r="D18" s="71"/>
      <c r="E18" s="71"/>
      <c r="F18" s="71"/>
      <c r="G18" s="72"/>
    </row>
    <row r="19" spans="2:8" x14ac:dyDescent="0.25">
      <c r="B19" s="14" t="s">
        <v>16</v>
      </c>
      <c r="C19" s="28">
        <v>3580</v>
      </c>
      <c r="D19" s="28">
        <v>4</v>
      </c>
      <c r="E19" s="28">
        <v>0</v>
      </c>
      <c r="F19" s="28">
        <v>0</v>
      </c>
      <c r="G19" s="20">
        <f>SUM(C19:F19)</f>
        <v>3584</v>
      </c>
    </row>
    <row r="20" spans="2:8" x14ac:dyDescent="0.25">
      <c r="B20" s="90"/>
      <c r="C20" s="90"/>
      <c r="D20" s="90"/>
      <c r="E20" s="90"/>
      <c r="F20" s="90"/>
      <c r="G20" s="90"/>
    </row>
    <row r="21" spans="2:8" x14ac:dyDescent="0.25">
      <c r="B21" s="18" t="s">
        <v>17</v>
      </c>
      <c r="C21" s="19">
        <f>+C19+C16</f>
        <v>3749155</v>
      </c>
      <c r="D21" s="19">
        <v>1159725</v>
      </c>
      <c r="E21" s="19">
        <f>+E19+E16</f>
        <v>297878</v>
      </c>
      <c r="F21" s="19">
        <f>F16</f>
        <v>471601</v>
      </c>
      <c r="G21" s="19">
        <f>SUM(C21:F21)</f>
        <v>5678359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18</v>
      </c>
      <c r="C23" s="9"/>
      <c r="D23" s="9"/>
      <c r="E23" s="9"/>
      <c r="F23" s="9"/>
      <c r="G23" s="10"/>
    </row>
    <row r="24" spans="2:8" x14ac:dyDescent="0.25">
      <c r="B24" s="18" t="s">
        <v>19</v>
      </c>
      <c r="C24" s="19">
        <v>398720</v>
      </c>
      <c r="D24" s="19">
        <v>202770</v>
      </c>
      <c r="E24" s="19">
        <v>131454</v>
      </c>
      <c r="F24" s="19">
        <v>666161</v>
      </c>
      <c r="G24" s="19">
        <f>SUM(C24:F24)</f>
        <v>1399105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20</v>
      </c>
      <c r="C26" s="9"/>
      <c r="D26" s="9"/>
      <c r="E26" s="9"/>
      <c r="F26" s="9"/>
      <c r="G26" s="10"/>
    </row>
    <row r="27" spans="2:8" x14ac:dyDescent="0.25">
      <c r="B27" s="18" t="s">
        <v>21</v>
      </c>
      <c r="C27" s="19">
        <f>+C24+C21</f>
        <v>4147875</v>
      </c>
      <c r="D27" s="19">
        <f>+D24+D21</f>
        <v>1362495</v>
      </c>
      <c r="E27" s="19">
        <f>+E21+E24</f>
        <v>429332</v>
      </c>
      <c r="F27" s="19">
        <f>+F24+F21</f>
        <v>1137762</v>
      </c>
      <c r="G27" s="19">
        <f>SUM(C27:F27)</f>
        <v>7077464</v>
      </c>
    </row>
    <row r="28" spans="2:8" x14ac:dyDescent="0.25">
      <c r="B28" s="69"/>
      <c r="C28" s="69"/>
      <c r="D28" s="69"/>
      <c r="E28" s="69"/>
      <c r="F28" s="69"/>
      <c r="G28" s="69"/>
      <c r="H28" s="69"/>
    </row>
    <row r="29" spans="2:8" x14ac:dyDescent="0.25">
      <c r="B29" s="74" t="s">
        <v>22</v>
      </c>
      <c r="C29" s="75"/>
      <c r="D29" s="75"/>
      <c r="E29" s="75"/>
      <c r="F29" s="75"/>
      <c r="G29" s="76"/>
    </row>
    <row r="30" spans="2:8" x14ac:dyDescent="0.25">
      <c r="B30" s="14" t="s">
        <v>23</v>
      </c>
      <c r="C30" s="28">
        <v>1195987</v>
      </c>
      <c r="D30" s="28">
        <v>210225</v>
      </c>
      <c r="E30" s="28">
        <v>103114</v>
      </c>
      <c r="F30" s="28">
        <v>202342</v>
      </c>
      <c r="G30" s="28">
        <f>SUM(C30:F30)</f>
        <v>1711668</v>
      </c>
    </row>
    <row r="31" spans="2:8" x14ac:dyDescent="0.25">
      <c r="B31" s="69"/>
      <c r="C31" s="69"/>
      <c r="D31" s="69"/>
      <c r="E31" s="69"/>
      <c r="F31" s="69"/>
      <c r="G31" s="69"/>
      <c r="H31" s="69"/>
    </row>
    <row r="32" spans="2:8" x14ac:dyDescent="0.25">
      <c r="B32" s="74" t="s">
        <v>107</v>
      </c>
      <c r="C32" s="75"/>
      <c r="D32" s="75"/>
      <c r="E32" s="75"/>
      <c r="F32" s="75"/>
      <c r="G32" s="76"/>
    </row>
    <row r="33" spans="2:9" x14ac:dyDescent="0.25">
      <c r="B33" s="14" t="s">
        <v>25</v>
      </c>
      <c r="C33" s="28">
        <v>3294172590368</v>
      </c>
      <c r="D33" s="28">
        <v>568285836522</v>
      </c>
      <c r="E33" s="28">
        <v>233800211358</v>
      </c>
      <c r="F33" s="28">
        <v>307008689843</v>
      </c>
      <c r="G33" s="28">
        <f>SUM(C33:F33)</f>
        <v>4403267328091</v>
      </c>
    </row>
    <row r="34" spans="2:9" x14ac:dyDescent="0.25">
      <c r="B34" s="14" t="s">
        <v>26</v>
      </c>
      <c r="C34" s="28">
        <v>139397664023</v>
      </c>
      <c r="D34" s="28">
        <v>62059712280</v>
      </c>
      <c r="E34" s="28">
        <v>34581902500</v>
      </c>
      <c r="F34" s="28">
        <v>121932060905</v>
      </c>
      <c r="G34" s="28">
        <f>SUM(C34:F34)</f>
        <v>357971339708</v>
      </c>
    </row>
    <row r="35" spans="2:9" x14ac:dyDescent="0.25">
      <c r="B35" s="46" t="s">
        <v>27</v>
      </c>
      <c r="C35" s="19">
        <f>SUM(C33:C34)</f>
        <v>3433570254391</v>
      </c>
      <c r="D35" s="19">
        <v>630345548802</v>
      </c>
      <c r="E35" s="19">
        <f>+E33+E34</f>
        <v>268382113858</v>
      </c>
      <c r="F35" s="19">
        <v>428940750748</v>
      </c>
      <c r="G35" s="47">
        <f>SUM(C35:F35)</f>
        <v>4761238667799</v>
      </c>
    </row>
    <row r="36" spans="2:9" x14ac:dyDescent="0.25">
      <c r="B36" s="85" t="s">
        <v>108</v>
      </c>
      <c r="C36" s="85"/>
      <c r="D36" s="85"/>
      <c r="E36" s="85"/>
      <c r="F36" s="85"/>
      <c r="G36" s="85"/>
      <c r="H36"/>
    </row>
    <row r="37" spans="2:9" x14ac:dyDescent="0.25">
      <c r="B37" s="45"/>
      <c r="C37" s="45"/>
      <c r="D37" s="45"/>
      <c r="E37" s="45"/>
      <c r="F37" s="45"/>
      <c r="G37" s="45"/>
      <c r="H37" s="45"/>
    </row>
    <row r="38" spans="2:9" ht="21" x14ac:dyDescent="0.35">
      <c r="B38" s="78" t="s">
        <v>28</v>
      </c>
      <c r="C38" s="79"/>
      <c r="D38" s="79"/>
      <c r="E38" s="79"/>
      <c r="F38" s="79"/>
      <c r="G38" s="80"/>
    </row>
    <row r="39" spans="2:9" x14ac:dyDescent="0.25">
      <c r="B39" s="74" t="s">
        <v>29</v>
      </c>
      <c r="C39" s="75"/>
      <c r="D39" s="75"/>
      <c r="E39" s="75"/>
      <c r="F39" s="75"/>
      <c r="G39" s="76"/>
    </row>
    <row r="40" spans="2:9" x14ac:dyDescent="0.25">
      <c r="B40" s="14" t="s">
        <v>30</v>
      </c>
      <c r="C40" s="28">
        <v>592509</v>
      </c>
      <c r="D40" s="28">
        <v>162558</v>
      </c>
      <c r="E40" s="28">
        <v>64622</v>
      </c>
      <c r="F40" s="28">
        <v>72509</v>
      </c>
      <c r="G40" s="28">
        <f>SUM(C40:F40)</f>
        <v>892198</v>
      </c>
      <c r="H40" s="7"/>
      <c r="I40" s="7"/>
    </row>
    <row r="41" spans="2:9" x14ac:dyDescent="0.25">
      <c r="B41" s="14" t="s">
        <v>31</v>
      </c>
      <c r="C41" s="28">
        <f>2406845353/1000000</f>
        <v>2406.8453530000002</v>
      </c>
      <c r="D41" s="28">
        <v>805.45398699999998</v>
      </c>
      <c r="E41" s="28">
        <v>371</v>
      </c>
      <c r="F41" s="12">
        <v>436.87881299999998</v>
      </c>
      <c r="G41" s="11">
        <f>SUM(C41:F41)</f>
        <v>4020.1781529999998</v>
      </c>
      <c r="H41" s="7"/>
      <c r="I41" s="7"/>
    </row>
    <row r="42" spans="2:9" x14ac:dyDescent="0.25">
      <c r="B42" s="69"/>
      <c r="C42" s="69"/>
      <c r="D42" s="69"/>
      <c r="E42" s="69"/>
      <c r="F42" s="69"/>
      <c r="G42" s="69"/>
      <c r="H42" s="69"/>
      <c r="I42" s="7"/>
    </row>
    <row r="43" spans="2:9" x14ac:dyDescent="0.25">
      <c r="B43" s="68" t="s">
        <v>109</v>
      </c>
      <c r="C43" s="68"/>
      <c r="D43" s="68"/>
      <c r="E43" s="68"/>
      <c r="F43" s="68"/>
      <c r="G43" s="68"/>
      <c r="I43" s="7"/>
    </row>
    <row r="44" spans="2:9" x14ac:dyDescent="0.25">
      <c r="B44" s="14" t="s">
        <v>111</v>
      </c>
      <c r="C44" s="28">
        <v>8</v>
      </c>
      <c r="D44" s="28">
        <v>4</v>
      </c>
      <c r="E44" s="28">
        <v>4</v>
      </c>
      <c r="F44" s="28">
        <v>3</v>
      </c>
      <c r="G44" s="28">
        <f>SUM(C44:F44)</f>
        <v>19</v>
      </c>
      <c r="H44" s="7"/>
      <c r="I44" s="7"/>
    </row>
    <row r="45" spans="2:9" x14ac:dyDescent="0.25">
      <c r="B45" s="14" t="s">
        <v>112</v>
      </c>
      <c r="C45" s="11">
        <f>4812136/1000000</f>
        <v>4.8121359999999997</v>
      </c>
      <c r="D45" s="11">
        <v>8.7075E-2</v>
      </c>
      <c r="E45" s="11">
        <v>0.1</v>
      </c>
      <c r="F45" s="11">
        <v>0.121561</v>
      </c>
      <c r="G45" s="11">
        <f>SUM(C45:F45)</f>
        <v>5.1207719999999988</v>
      </c>
      <c r="H45" s="7"/>
      <c r="I45" s="7"/>
    </row>
    <row r="46" spans="2:9" x14ac:dyDescent="0.25">
      <c r="B46" s="69"/>
      <c r="C46" s="69"/>
      <c r="D46" s="69"/>
      <c r="E46" s="69"/>
      <c r="F46" s="69"/>
      <c r="G46" s="69"/>
      <c r="H46" s="69"/>
      <c r="I46" s="7"/>
    </row>
    <row r="47" spans="2:9" x14ac:dyDescent="0.25">
      <c r="B47" s="68" t="s">
        <v>110</v>
      </c>
      <c r="C47" s="68"/>
      <c r="D47" s="68"/>
      <c r="E47" s="68"/>
      <c r="F47" s="68"/>
      <c r="G47" s="68"/>
      <c r="I47" s="7"/>
    </row>
    <row r="48" spans="2:9" x14ac:dyDescent="0.25">
      <c r="B48" s="14" t="s">
        <v>113</v>
      </c>
      <c r="C48" s="51">
        <v>162815</v>
      </c>
      <c r="D48" s="28">
        <v>84022</v>
      </c>
      <c r="E48" s="55">
        <v>13722</v>
      </c>
      <c r="F48" s="28">
        <v>63967</v>
      </c>
      <c r="G48" s="28">
        <f>SUM(C48:F48)</f>
        <v>324526</v>
      </c>
      <c r="H48" s="7"/>
      <c r="I48" s="7"/>
    </row>
    <row r="49" spans="2:9" x14ac:dyDescent="0.25">
      <c r="B49" s="14" t="s">
        <v>114</v>
      </c>
      <c r="C49" s="54">
        <f>( 73631013533+ 1517552128)/1000000</f>
        <v>75148.565661000001</v>
      </c>
      <c r="D49" s="28">
        <v>27191.761399999999</v>
      </c>
      <c r="E49" s="55">
        <v>9319.2171980000003</v>
      </c>
      <c r="F49" s="12">
        <v>10351.369941000001</v>
      </c>
      <c r="G49" s="11">
        <f>SUM(C49:F49)</f>
        <v>122010.9142</v>
      </c>
      <c r="H49" s="7"/>
      <c r="I49" s="7"/>
    </row>
    <row r="50" spans="2:9" x14ac:dyDescent="0.25">
      <c r="B50" s="69"/>
      <c r="C50" s="69"/>
      <c r="D50" s="69"/>
      <c r="E50" s="69"/>
      <c r="F50" s="69"/>
      <c r="G50" s="69"/>
      <c r="H50" s="69"/>
    </row>
    <row r="51" spans="2:9" ht="21" x14ac:dyDescent="0.35">
      <c r="B51" s="78" t="s">
        <v>38</v>
      </c>
      <c r="C51" s="79"/>
      <c r="D51" s="79"/>
      <c r="E51" s="79"/>
      <c r="F51" s="79"/>
      <c r="G51" s="80"/>
    </row>
    <row r="52" spans="2:9" x14ac:dyDescent="0.25">
      <c r="B52" s="86"/>
      <c r="C52" s="86"/>
      <c r="D52" s="86"/>
      <c r="E52" s="86"/>
      <c r="F52" s="86"/>
      <c r="G52" s="86"/>
      <c r="H52" s="86"/>
    </row>
    <row r="53" spans="2:9" x14ac:dyDescent="0.25">
      <c r="B53" s="68" t="s">
        <v>39</v>
      </c>
      <c r="C53" s="68"/>
      <c r="D53" s="68"/>
      <c r="E53" s="68"/>
      <c r="F53" s="68"/>
      <c r="G53" s="68"/>
    </row>
    <row r="54" spans="2:9" x14ac:dyDescent="0.25">
      <c r="B54" s="73" t="s">
        <v>40</v>
      </c>
      <c r="C54" s="73"/>
      <c r="D54" s="73"/>
      <c r="E54" s="73"/>
      <c r="F54" s="73"/>
      <c r="G54" s="73"/>
    </row>
    <row r="55" spans="2:9" x14ac:dyDescent="0.25">
      <c r="B55" s="14" t="s">
        <v>41</v>
      </c>
      <c r="C55" s="28">
        <v>76127</v>
      </c>
      <c r="D55" s="28">
        <v>4574</v>
      </c>
      <c r="E55" s="28">
        <v>1397</v>
      </c>
      <c r="F55" s="28">
        <v>3924</v>
      </c>
      <c r="G55" s="28">
        <f t="shared" ref="G55:G71" si="0">SUM(C55:F55)</f>
        <v>86022</v>
      </c>
    </row>
    <row r="56" spans="2:9" x14ac:dyDescent="0.25">
      <c r="B56" s="14" t="s">
        <v>42</v>
      </c>
      <c r="C56" s="28">
        <v>76866.573256999996</v>
      </c>
      <c r="D56" s="28">
        <v>7335.0648600000004</v>
      </c>
      <c r="E56" s="28">
        <v>2296.2368190000002</v>
      </c>
      <c r="F56" s="28">
        <v>9037</v>
      </c>
      <c r="G56" s="28">
        <f t="shared" si="0"/>
        <v>95534.874935999993</v>
      </c>
    </row>
    <row r="57" spans="2:9" x14ac:dyDescent="0.25">
      <c r="B57" s="14" t="s">
        <v>43</v>
      </c>
      <c r="C57" s="28">
        <v>17.344174865685002</v>
      </c>
      <c r="D57" s="28">
        <v>40.903784306502331</v>
      </c>
      <c r="E57" s="28">
        <v>26</v>
      </c>
      <c r="F57" s="28">
        <v>32</v>
      </c>
      <c r="G57" s="28">
        <f>AVERAGE(C57:F57)</f>
        <v>29.061989793046834</v>
      </c>
    </row>
    <row r="58" spans="2:9" x14ac:dyDescent="0.25">
      <c r="B58" s="14" t="s">
        <v>44</v>
      </c>
      <c r="C58" s="28">
        <v>778865</v>
      </c>
      <c r="D58" s="28">
        <v>147417</v>
      </c>
      <c r="E58" s="28">
        <v>48742</v>
      </c>
      <c r="F58" s="28">
        <v>63956</v>
      </c>
      <c r="G58" s="28">
        <f t="shared" si="0"/>
        <v>1038980</v>
      </c>
    </row>
    <row r="59" spans="2:9" x14ac:dyDescent="0.25">
      <c r="B59" s="14" t="s">
        <v>115</v>
      </c>
      <c r="C59" s="28">
        <v>1600833.2216089999</v>
      </c>
      <c r="D59" s="28">
        <v>293397.376567</v>
      </c>
      <c r="E59" s="28">
        <v>103185.54270400001</v>
      </c>
      <c r="F59" s="28">
        <v>127717</v>
      </c>
      <c r="G59" s="11">
        <f t="shared" si="0"/>
        <v>2125133.1408799998</v>
      </c>
    </row>
    <row r="60" spans="2:9" x14ac:dyDescent="0.25">
      <c r="B60" s="73" t="s">
        <v>45</v>
      </c>
      <c r="C60" s="73"/>
      <c r="D60" s="73"/>
      <c r="E60" s="73"/>
      <c r="F60" s="73"/>
      <c r="G60" s="73"/>
    </row>
    <row r="61" spans="2:9" x14ac:dyDescent="0.25">
      <c r="B61" s="14" t="s">
        <v>41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42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43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44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115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3" t="s">
        <v>46</v>
      </c>
      <c r="C66" s="73"/>
      <c r="D66" s="73"/>
      <c r="E66" s="73"/>
      <c r="F66" s="73"/>
      <c r="G66" s="73"/>
    </row>
    <row r="67" spans="2:8" x14ac:dyDescent="0.25">
      <c r="B67" s="14" t="s">
        <v>41</v>
      </c>
      <c r="C67" s="28">
        <v>5894</v>
      </c>
      <c r="D67" s="28">
        <v>2038</v>
      </c>
      <c r="E67" s="28">
        <v>994</v>
      </c>
      <c r="F67" s="28">
        <v>10696</v>
      </c>
      <c r="G67" s="28">
        <f t="shared" si="0"/>
        <v>19622</v>
      </c>
    </row>
    <row r="68" spans="2:8" x14ac:dyDescent="0.25">
      <c r="B68" s="14" t="s">
        <v>42</v>
      </c>
      <c r="C68" s="28">
        <v>5048.4832710000001</v>
      </c>
      <c r="D68" s="28">
        <v>2009.3805480000001</v>
      </c>
      <c r="E68" s="28">
        <v>1055.5779829999999</v>
      </c>
      <c r="F68" s="28">
        <v>13000</v>
      </c>
      <c r="G68" s="28">
        <f t="shared" si="0"/>
        <v>21113.441802000001</v>
      </c>
    </row>
    <row r="69" spans="2:8" x14ac:dyDescent="0.25">
      <c r="B69" s="14" t="s">
        <v>43</v>
      </c>
      <c r="C69" s="28">
        <v>40.007125890736297</v>
      </c>
      <c r="D69" s="28">
        <v>55.924777643054746</v>
      </c>
      <c r="E69" s="28">
        <v>51</v>
      </c>
      <c r="F69" s="28">
        <v>43</v>
      </c>
      <c r="G69" s="28">
        <f>AVERAGE(C69:F69)</f>
        <v>47.482975883447764</v>
      </c>
    </row>
    <row r="70" spans="2:8" x14ac:dyDescent="0.25">
      <c r="B70" s="14" t="s">
        <v>44</v>
      </c>
      <c r="C70" s="28">
        <v>104120</v>
      </c>
      <c r="D70" s="28">
        <v>83438</v>
      </c>
      <c r="E70" s="28">
        <v>53057</v>
      </c>
      <c r="F70" s="28">
        <v>229538</v>
      </c>
      <c r="G70" s="28">
        <f t="shared" si="0"/>
        <v>470153</v>
      </c>
    </row>
    <row r="71" spans="2:8" x14ac:dyDescent="0.25">
      <c r="B71" s="14" t="s">
        <v>115</v>
      </c>
      <c r="C71" s="28">
        <v>94460.85699</v>
      </c>
      <c r="D71" s="28">
        <v>82003.517460999996</v>
      </c>
      <c r="E71" s="28">
        <v>51163.894590000004</v>
      </c>
      <c r="F71" s="28">
        <v>185876</v>
      </c>
      <c r="G71" s="11">
        <f t="shared" si="0"/>
        <v>413504.26904100005</v>
      </c>
    </row>
    <row r="72" spans="2:8" x14ac:dyDescent="0.25">
      <c r="B72" s="82" t="s">
        <v>47</v>
      </c>
      <c r="C72" s="83"/>
      <c r="D72" s="83"/>
      <c r="E72" s="83"/>
      <c r="F72" s="83"/>
      <c r="G72" s="84"/>
    </row>
    <row r="73" spans="2:8" x14ac:dyDescent="0.25">
      <c r="B73" s="18" t="s">
        <v>116</v>
      </c>
      <c r="C73" s="19">
        <v>82021</v>
      </c>
      <c r="D73" s="19">
        <f>+D67+D61+D55</f>
        <v>6612</v>
      </c>
      <c r="E73" s="19">
        <f t="shared" ref="E73:E74" si="1">+E67+E61+E55</f>
        <v>2391</v>
      </c>
      <c r="F73" s="19">
        <f>+F55+F67</f>
        <v>14620</v>
      </c>
      <c r="G73" s="19">
        <f>SUM(C73:F73)</f>
        <v>105644</v>
      </c>
    </row>
    <row r="74" spans="2:8" x14ac:dyDescent="0.25">
      <c r="B74" s="18" t="s">
        <v>42</v>
      </c>
      <c r="C74" s="19">
        <v>81915.056528000001</v>
      </c>
      <c r="D74" s="19">
        <f t="shared" ref="D74:E77" si="2">+D68+D62+D56</f>
        <v>9344.4454079999996</v>
      </c>
      <c r="E74" s="19">
        <f t="shared" si="1"/>
        <v>3351.8148019999999</v>
      </c>
      <c r="F74" s="19">
        <f>+F56+F68</f>
        <v>22037</v>
      </c>
      <c r="G74" s="22">
        <f>SUM(C74:F74)</f>
        <v>116648.31673799999</v>
      </c>
    </row>
    <row r="75" spans="2:8" x14ac:dyDescent="0.25">
      <c r="B75" s="18" t="s">
        <v>43</v>
      </c>
      <c r="C75" s="19">
        <v>18.972726496872799</v>
      </c>
      <c r="D75" s="19">
        <f>(+D57+D63+D69)/3</f>
        <v>32.276187316519021</v>
      </c>
      <c r="E75" s="19">
        <v>0</v>
      </c>
      <c r="F75" s="19">
        <f>(F57+F69)/2</f>
        <v>37.5</v>
      </c>
      <c r="G75" s="19">
        <f>AVERAGE(C75:F75)</f>
        <v>22.187228453347956</v>
      </c>
    </row>
    <row r="76" spans="2:8" x14ac:dyDescent="0.25">
      <c r="B76" s="18" t="s">
        <v>44</v>
      </c>
      <c r="C76" s="19">
        <v>882985</v>
      </c>
      <c r="D76" s="19">
        <f t="shared" si="2"/>
        <v>230855</v>
      </c>
      <c r="E76" s="19">
        <f t="shared" si="2"/>
        <v>101799</v>
      </c>
      <c r="F76" s="19">
        <f>+F58+F70</f>
        <v>293494</v>
      </c>
      <c r="G76" s="19">
        <f>SUM(C76:F76)</f>
        <v>1509133</v>
      </c>
    </row>
    <row r="77" spans="2:8" x14ac:dyDescent="0.25">
      <c r="B77" s="18" t="s">
        <v>115</v>
      </c>
      <c r="C77" s="19">
        <v>1695294.0785989999</v>
      </c>
      <c r="D77" s="19">
        <f>+D71+D65+D59</f>
        <v>375400.89402800001</v>
      </c>
      <c r="E77" s="19">
        <f t="shared" si="2"/>
        <v>154349.437294</v>
      </c>
      <c r="F77" s="19">
        <f>+F59+F71</f>
        <v>313593</v>
      </c>
      <c r="G77" s="22">
        <f>SUM(C77:F77)</f>
        <v>2538637.4099209998</v>
      </c>
    </row>
    <row r="78" spans="2:8" x14ac:dyDescent="0.25">
      <c r="B78" s="69"/>
      <c r="C78" s="69"/>
      <c r="D78" s="69"/>
      <c r="E78" s="69"/>
      <c r="F78" s="69"/>
      <c r="G78" s="69"/>
      <c r="H78" s="69"/>
    </row>
    <row r="79" spans="2:8" x14ac:dyDescent="0.25">
      <c r="B79" s="74" t="s">
        <v>48</v>
      </c>
      <c r="C79" s="75"/>
      <c r="D79" s="75"/>
      <c r="E79" s="75"/>
      <c r="F79" s="75"/>
      <c r="G79" s="76"/>
    </row>
    <row r="80" spans="2:8" x14ac:dyDescent="0.25">
      <c r="B80" s="70" t="s">
        <v>40</v>
      </c>
      <c r="C80" s="71"/>
      <c r="D80" s="71"/>
      <c r="E80" s="71"/>
      <c r="F80" s="71"/>
      <c r="G80" s="72"/>
    </row>
    <row r="81" spans="2:7" x14ac:dyDescent="0.25">
      <c r="B81" s="14" t="s">
        <v>41</v>
      </c>
      <c r="C81" s="28">
        <v>0</v>
      </c>
      <c r="D81" s="28">
        <v>0</v>
      </c>
      <c r="E81" s="28">
        <v>0</v>
      </c>
      <c r="F81" s="28">
        <v>0</v>
      </c>
      <c r="G81" s="20">
        <f>SUM(C81:F81)</f>
        <v>0</v>
      </c>
    </row>
    <row r="82" spans="2:7" x14ac:dyDescent="0.25">
      <c r="B82" s="14" t="s">
        <v>42</v>
      </c>
      <c r="C82" s="28">
        <v>0</v>
      </c>
      <c r="D82" s="28">
        <v>0</v>
      </c>
      <c r="E82" s="28">
        <v>0</v>
      </c>
      <c r="F82" s="28">
        <v>0</v>
      </c>
      <c r="G82" s="24">
        <f>SUM(C82:F82)</f>
        <v>0</v>
      </c>
    </row>
    <row r="83" spans="2:7" x14ac:dyDescent="0.25">
      <c r="B83" s="14" t="s">
        <v>43</v>
      </c>
      <c r="C83" s="28">
        <v>0</v>
      </c>
      <c r="D83" s="28">
        <v>0</v>
      </c>
      <c r="E83" s="28">
        <v>0</v>
      </c>
      <c r="F83" s="28">
        <v>0</v>
      </c>
      <c r="G83" s="24">
        <f>AVERAGE(C83:F83)</f>
        <v>0</v>
      </c>
    </row>
    <row r="84" spans="2:7" x14ac:dyDescent="0.25">
      <c r="B84" s="14" t="s">
        <v>44</v>
      </c>
      <c r="C84" s="28">
        <v>1040</v>
      </c>
      <c r="D84" s="28">
        <v>126</v>
      </c>
      <c r="E84" s="28">
        <v>6</v>
      </c>
      <c r="F84" s="28">
        <v>103</v>
      </c>
      <c r="G84" s="24">
        <f>SUM(C84:F84)</f>
        <v>1275</v>
      </c>
    </row>
    <row r="85" spans="2:7" x14ac:dyDescent="0.25">
      <c r="B85" s="14" t="s">
        <v>115</v>
      </c>
      <c r="C85" s="28">
        <v>21530.679177999999</v>
      </c>
      <c r="D85" s="28">
        <v>1504</v>
      </c>
      <c r="E85" s="28">
        <v>77</v>
      </c>
      <c r="F85" s="28">
        <v>1898.7471880000001</v>
      </c>
      <c r="G85" s="11">
        <f>SUM(C85:F85)</f>
        <v>25010.426366</v>
      </c>
    </row>
    <row r="86" spans="2:7" x14ac:dyDescent="0.25">
      <c r="B86" s="70" t="s">
        <v>45</v>
      </c>
      <c r="C86" s="71"/>
      <c r="D86" s="71"/>
      <c r="E86" s="71"/>
      <c r="F86" s="71"/>
      <c r="G86" s="72"/>
    </row>
    <row r="87" spans="2:7" x14ac:dyDescent="0.25">
      <c r="B87" s="14" t="s">
        <v>41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42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43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44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115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0" t="s">
        <v>46</v>
      </c>
      <c r="C92" s="71"/>
      <c r="D92" s="71"/>
      <c r="E92" s="71"/>
      <c r="F92" s="71"/>
      <c r="G92" s="72"/>
    </row>
    <row r="93" spans="2:7" x14ac:dyDescent="0.25">
      <c r="B93" s="14" t="s">
        <v>41</v>
      </c>
      <c r="C93" s="28">
        <v>0</v>
      </c>
      <c r="D93" s="28">
        <v>0</v>
      </c>
      <c r="E93" s="28">
        <v>0</v>
      </c>
      <c r="F93" s="28">
        <v>0</v>
      </c>
      <c r="G93" s="28">
        <f>SUM(C93:F93)</f>
        <v>0</v>
      </c>
    </row>
    <row r="94" spans="2:7" x14ac:dyDescent="0.25">
      <c r="B94" s="14" t="s">
        <v>42</v>
      </c>
      <c r="C94" s="28">
        <v>0</v>
      </c>
      <c r="D94" s="28">
        <v>0</v>
      </c>
      <c r="E94" s="28">
        <v>0</v>
      </c>
      <c r="F94" s="28">
        <v>0</v>
      </c>
      <c r="G94" s="28">
        <f>SUM(C94:F94)</f>
        <v>0</v>
      </c>
    </row>
    <row r="95" spans="2:7" x14ac:dyDescent="0.25">
      <c r="B95" s="14" t="s">
        <v>43</v>
      </c>
      <c r="C95" s="28">
        <v>0</v>
      </c>
      <c r="D95" s="28">
        <v>0</v>
      </c>
      <c r="E95" s="28">
        <v>0</v>
      </c>
      <c r="F95" s="28">
        <v>0</v>
      </c>
      <c r="G95" s="28">
        <f>AVERAGE(C95:F95)</f>
        <v>0</v>
      </c>
    </row>
    <row r="96" spans="2:7" x14ac:dyDescent="0.25">
      <c r="B96" s="14" t="s">
        <v>44</v>
      </c>
      <c r="C96" s="28">
        <v>12</v>
      </c>
      <c r="D96" s="28">
        <v>0</v>
      </c>
      <c r="E96" s="28">
        <v>0</v>
      </c>
      <c r="F96" s="28">
        <v>7</v>
      </c>
      <c r="G96" s="28">
        <f>SUM(C96:F96)</f>
        <v>19</v>
      </c>
    </row>
    <row r="97" spans="2:8" x14ac:dyDescent="0.25">
      <c r="B97" s="14" t="s">
        <v>115</v>
      </c>
      <c r="C97" s="28">
        <v>186.34107800000001</v>
      </c>
      <c r="D97" s="28">
        <v>0</v>
      </c>
      <c r="E97" s="28">
        <v>0</v>
      </c>
      <c r="F97" s="28">
        <v>90.286648999999997</v>
      </c>
      <c r="G97" s="11">
        <f>SUM(C97:F97)</f>
        <v>276.62772699999999</v>
      </c>
    </row>
    <row r="98" spans="2:8" x14ac:dyDescent="0.25">
      <c r="B98" s="82" t="s">
        <v>49</v>
      </c>
      <c r="C98" s="83"/>
      <c r="D98" s="83"/>
      <c r="E98" s="83"/>
      <c r="F98" s="83"/>
      <c r="G98" s="84"/>
    </row>
    <row r="99" spans="2:8" x14ac:dyDescent="0.25">
      <c r="B99" s="18" t="s">
        <v>41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42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43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44</v>
      </c>
      <c r="C102" s="19">
        <f>+C96+C84</f>
        <v>1052</v>
      </c>
      <c r="D102" s="19">
        <f t="shared" ref="D102:D103" si="3">+D96+D90+D84</f>
        <v>126</v>
      </c>
      <c r="E102" s="19">
        <f>+E84</f>
        <v>6</v>
      </c>
      <c r="F102" s="27">
        <v>0</v>
      </c>
      <c r="G102" s="19">
        <f>SUM(C102:F102)</f>
        <v>1184</v>
      </c>
    </row>
    <row r="103" spans="2:8" x14ac:dyDescent="0.25">
      <c r="B103" s="18" t="s">
        <v>115</v>
      </c>
      <c r="C103" s="19">
        <f>+C97+C85</f>
        <v>21717.020256</v>
      </c>
      <c r="D103" s="19">
        <f t="shared" si="3"/>
        <v>1504</v>
      </c>
      <c r="E103" s="19">
        <f>+E85</f>
        <v>77</v>
      </c>
      <c r="F103" s="19">
        <v>0</v>
      </c>
      <c r="G103" s="22">
        <f>SUM(C103:F103)</f>
        <v>23298.020256</v>
      </c>
    </row>
    <row r="104" spans="2:8" x14ac:dyDescent="0.25">
      <c r="B104" s="69"/>
      <c r="C104" s="69"/>
      <c r="D104" s="69"/>
      <c r="E104" s="69"/>
      <c r="F104" s="69"/>
      <c r="G104" s="69"/>
      <c r="H104" s="69"/>
    </row>
    <row r="105" spans="2:8" x14ac:dyDescent="0.25">
      <c r="B105" s="68" t="s">
        <v>50</v>
      </c>
      <c r="C105" s="68"/>
      <c r="D105" s="68"/>
      <c r="E105" s="68"/>
      <c r="F105" s="68"/>
      <c r="G105" s="68"/>
    </row>
    <row r="106" spans="2:8" x14ac:dyDescent="0.25">
      <c r="B106" s="73" t="s">
        <v>51</v>
      </c>
      <c r="C106" s="73"/>
      <c r="D106" s="73"/>
      <c r="E106" s="73"/>
      <c r="F106" s="73"/>
      <c r="G106" s="73"/>
    </row>
    <row r="107" spans="2:8" x14ac:dyDescent="0.25">
      <c r="B107" s="14" t="s">
        <v>52</v>
      </c>
      <c r="C107" s="11">
        <v>2.3491610034930099</v>
      </c>
      <c r="D107" s="13">
        <v>2.4178608515057394</v>
      </c>
      <c r="E107" s="31">
        <v>2.44</v>
      </c>
      <c r="F107" s="31">
        <v>2.4900000000000002</v>
      </c>
      <c r="G107" s="13">
        <f>AVERAGE(C107:F107)</f>
        <v>2.4242554637496871</v>
      </c>
    </row>
    <row r="108" spans="2:8" x14ac:dyDescent="0.25">
      <c r="B108" s="14" t="s">
        <v>53</v>
      </c>
      <c r="C108" s="11">
        <v>1.7950695216904839</v>
      </c>
      <c r="D108" s="13">
        <v>2.4291434927697688</v>
      </c>
      <c r="E108" s="32">
        <v>2.44</v>
      </c>
      <c r="F108" s="31">
        <v>2.4900000000000002</v>
      </c>
      <c r="G108" s="13">
        <f>AVERAGE(C108:F108)</f>
        <v>2.288553253615063</v>
      </c>
    </row>
    <row r="109" spans="2:8" x14ac:dyDescent="0.25">
      <c r="B109" s="14" t="s">
        <v>54</v>
      </c>
      <c r="C109" s="38">
        <v>1.7256823300375315</v>
      </c>
      <c r="D109" s="13">
        <v>2.5350162866449644</v>
      </c>
      <c r="E109" s="31">
        <v>2.59</v>
      </c>
      <c r="F109" s="31">
        <v>2.5499999999999998</v>
      </c>
      <c r="G109" s="13">
        <f>AVERAGE(C109:F109)</f>
        <v>2.3501746541706239</v>
      </c>
    </row>
    <row r="110" spans="2:8" x14ac:dyDescent="0.25">
      <c r="B110" s="73" t="s">
        <v>55</v>
      </c>
      <c r="C110" s="73"/>
      <c r="D110" s="73"/>
      <c r="E110" s="73"/>
      <c r="F110" s="73"/>
      <c r="G110" s="73"/>
    </row>
    <row r="111" spans="2:8" x14ac:dyDescent="0.25">
      <c r="B111" s="14" t="s">
        <v>52</v>
      </c>
      <c r="C111" s="11">
        <v>1.2492000000000003</v>
      </c>
      <c r="D111" s="13">
        <v>2.16</v>
      </c>
      <c r="E111" s="31">
        <v>1.1000000000000001</v>
      </c>
      <c r="F111" s="11">
        <v>1.2492000000000003</v>
      </c>
      <c r="G111" s="13">
        <f>AVERAGE(C111:F111)</f>
        <v>1.4396</v>
      </c>
    </row>
    <row r="112" spans="2:8" x14ac:dyDescent="0.25">
      <c r="B112" s="14" t="s">
        <v>53</v>
      </c>
      <c r="C112" s="11">
        <v>1.2673089700996663</v>
      </c>
      <c r="D112" s="13">
        <v>2.1599999999999984</v>
      </c>
      <c r="E112" s="31">
        <v>2.14</v>
      </c>
      <c r="F112" s="11">
        <v>1.99</v>
      </c>
      <c r="G112" s="13">
        <f>AVERAGE(C112:F112)</f>
        <v>1.8893272425249164</v>
      </c>
    </row>
    <row r="113" spans="2:9" x14ac:dyDescent="0.25">
      <c r="B113" s="14" t="s">
        <v>54</v>
      </c>
      <c r="C113" s="13">
        <v>1.3473260869565169</v>
      </c>
      <c r="D113" s="13">
        <v>2.1600000000000046</v>
      </c>
      <c r="E113" s="31">
        <v>2.15</v>
      </c>
      <c r="F113" s="31">
        <v>2.15</v>
      </c>
      <c r="G113" s="13">
        <f>AVERAGE(C113:F113)</f>
        <v>1.9518315217391304</v>
      </c>
    </row>
    <row r="114" spans="2:9" x14ac:dyDescent="0.25">
      <c r="B114" s="69"/>
      <c r="C114" s="69"/>
      <c r="D114" s="69"/>
      <c r="E114" s="69"/>
      <c r="F114" s="69"/>
      <c r="G114" s="69"/>
      <c r="H114" s="69"/>
      <c r="I114" s="69"/>
    </row>
    <row r="115" spans="2:9" x14ac:dyDescent="0.25">
      <c r="B115" s="73" t="s">
        <v>56</v>
      </c>
      <c r="C115" s="73"/>
      <c r="D115" s="73"/>
      <c r="E115" s="73"/>
      <c r="F115" s="73"/>
      <c r="G115" s="73"/>
    </row>
    <row r="116" spans="2:9" x14ac:dyDescent="0.25">
      <c r="B116" s="14" t="s">
        <v>52</v>
      </c>
      <c r="C116" s="13">
        <v>1.2834412650602485</v>
      </c>
      <c r="D116" s="13">
        <v>1.7900000000000003</v>
      </c>
      <c r="E116" s="32">
        <v>1.78</v>
      </c>
      <c r="F116" s="32">
        <v>1.77</v>
      </c>
      <c r="G116" s="13">
        <f>AVERAGE(C116:F116)</f>
        <v>1.6558603162650622</v>
      </c>
    </row>
    <row r="117" spans="2:9" x14ac:dyDescent="0.25">
      <c r="B117" s="14" t="s">
        <v>53</v>
      </c>
      <c r="C117" s="13">
        <v>1.4884388489208629</v>
      </c>
      <c r="D117" s="13">
        <v>1.7900000000000067</v>
      </c>
      <c r="E117" s="32">
        <v>1.78</v>
      </c>
      <c r="F117" s="32">
        <v>1.77</v>
      </c>
      <c r="G117" s="13">
        <f>AVERAGE(C117:F117)</f>
        <v>1.7071097122302175</v>
      </c>
    </row>
    <row r="118" spans="2:9" x14ac:dyDescent="0.25">
      <c r="B118" s="14" t="s">
        <v>54</v>
      </c>
      <c r="C118" s="13">
        <v>1.5469881217858252</v>
      </c>
      <c r="D118" s="13">
        <v>1.7881919191918874</v>
      </c>
      <c r="E118" s="32">
        <v>1.79</v>
      </c>
      <c r="F118" s="32">
        <v>1.79</v>
      </c>
      <c r="G118" s="13">
        <f>AVERAGE(C118:F118)</f>
        <v>1.7287950102444281</v>
      </c>
    </row>
    <row r="119" spans="2:9" x14ac:dyDescent="0.25">
      <c r="B119" s="70" t="s">
        <v>57</v>
      </c>
      <c r="C119" s="71"/>
      <c r="D119" s="71"/>
      <c r="E119" s="71"/>
      <c r="F119" s="71"/>
      <c r="G119" s="72"/>
    </row>
    <row r="120" spans="2:9" x14ac:dyDescent="0.25">
      <c r="B120" s="14" t="s">
        <v>52</v>
      </c>
      <c r="C120" s="13">
        <v>0</v>
      </c>
      <c r="D120" s="13">
        <v>1.43</v>
      </c>
      <c r="E120" s="31">
        <v>0</v>
      </c>
      <c r="F120" s="31">
        <v>0.39</v>
      </c>
      <c r="G120" s="13">
        <f>AVERAGE(C120:F120)</f>
        <v>0.45499999999999996</v>
      </c>
    </row>
    <row r="121" spans="2:9" x14ac:dyDescent="0.25">
      <c r="B121" s="14" t="s">
        <v>53</v>
      </c>
      <c r="C121" s="13">
        <v>1.2</v>
      </c>
      <c r="D121" s="13">
        <v>1.43</v>
      </c>
      <c r="E121" s="31">
        <v>0</v>
      </c>
      <c r="F121" s="31">
        <v>1.36</v>
      </c>
      <c r="G121" s="13">
        <f>AVERAGE(C121:F121)</f>
        <v>0.99750000000000005</v>
      </c>
    </row>
    <row r="122" spans="2:9" x14ac:dyDescent="0.25">
      <c r="B122" s="14" t="s">
        <v>54</v>
      </c>
      <c r="C122" s="13">
        <v>1.2555555555555555</v>
      </c>
      <c r="D122" s="13">
        <v>1.43</v>
      </c>
      <c r="E122" s="31">
        <v>1.36</v>
      </c>
      <c r="F122" s="31">
        <v>1.36</v>
      </c>
      <c r="G122" s="13">
        <f>AVERAGE(C122:F122)</f>
        <v>1.351388888888889</v>
      </c>
    </row>
    <row r="123" spans="2:9" x14ac:dyDescent="0.25">
      <c r="B123" s="69"/>
      <c r="C123" s="69"/>
      <c r="D123" s="69"/>
      <c r="E123" s="69"/>
      <c r="F123" s="69"/>
      <c r="G123" s="69"/>
      <c r="H123" s="69"/>
    </row>
    <row r="124" spans="2:9" x14ac:dyDescent="0.25">
      <c r="B124" s="74" t="s">
        <v>58</v>
      </c>
      <c r="C124" s="75"/>
      <c r="D124" s="75"/>
      <c r="E124" s="75"/>
      <c r="F124" s="75"/>
      <c r="G124" s="76"/>
    </row>
    <row r="125" spans="2:9" x14ac:dyDescent="0.25">
      <c r="B125" s="2" t="s">
        <v>59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4" t="s">
        <v>60</v>
      </c>
      <c r="C126" s="75"/>
      <c r="D126" s="75"/>
      <c r="E126" s="75"/>
      <c r="F126" s="75"/>
      <c r="G126" s="76"/>
    </row>
    <row r="127" spans="2:9" x14ac:dyDescent="0.25">
      <c r="B127" s="3" t="s">
        <v>61</v>
      </c>
      <c r="C127" s="34">
        <v>1.49</v>
      </c>
      <c r="D127" s="42">
        <v>1.9785393729802601</v>
      </c>
      <c r="E127" s="34">
        <v>1.927586</v>
      </c>
      <c r="F127" s="4">
        <v>0</v>
      </c>
      <c r="G127" s="11">
        <f>AVERAGE(C127:E127)</f>
        <v>1.7987084576600865</v>
      </c>
    </row>
    <row r="128" spans="2:9" x14ac:dyDescent="0.25">
      <c r="B128" s="81"/>
      <c r="C128" s="81"/>
      <c r="D128" s="81"/>
      <c r="E128" s="81"/>
      <c r="F128" s="81"/>
      <c r="G128" s="81"/>
      <c r="H128" s="81"/>
    </row>
    <row r="129" spans="2:9" x14ac:dyDescent="0.25">
      <c r="B129" s="68" t="s">
        <v>62</v>
      </c>
      <c r="C129" s="68"/>
      <c r="D129" s="68"/>
      <c r="E129" s="68"/>
      <c r="F129" s="68"/>
      <c r="G129" s="68"/>
    </row>
    <row r="130" spans="2:9" x14ac:dyDescent="0.25">
      <c r="B130" s="14" t="s">
        <v>63</v>
      </c>
      <c r="C130" s="28">
        <v>274271</v>
      </c>
      <c r="D130" s="28">
        <v>4174</v>
      </c>
      <c r="E130" s="28">
        <v>8598</v>
      </c>
      <c r="F130" s="28">
        <v>833</v>
      </c>
      <c r="G130" s="28">
        <f>SUM(C130:F130)</f>
        <v>287876</v>
      </c>
    </row>
    <row r="131" spans="2:9" x14ac:dyDescent="0.25">
      <c r="B131" s="14" t="s">
        <v>64</v>
      </c>
      <c r="C131" s="28">
        <v>188658.539941</v>
      </c>
      <c r="D131" s="28">
        <v>4054.3236879999999</v>
      </c>
      <c r="E131" s="28">
        <v>1222</v>
      </c>
      <c r="F131" s="28">
        <v>1001.734738</v>
      </c>
      <c r="G131" s="11">
        <f>SUM(C131:F131)</f>
        <v>194936.598367</v>
      </c>
    </row>
    <row r="132" spans="2:9" x14ac:dyDescent="0.25">
      <c r="B132" s="69"/>
      <c r="C132" s="69"/>
      <c r="D132" s="69"/>
      <c r="E132" s="69"/>
      <c r="F132" s="69"/>
      <c r="G132" s="69"/>
      <c r="H132" s="69"/>
    </row>
    <row r="133" spans="2:9" x14ac:dyDescent="0.25">
      <c r="B133" s="68" t="s">
        <v>65</v>
      </c>
      <c r="C133" s="68"/>
      <c r="D133" s="68"/>
      <c r="E133" s="68"/>
      <c r="F133" s="68"/>
      <c r="G133" s="68"/>
    </row>
    <row r="134" spans="2:9" x14ac:dyDescent="0.25">
      <c r="B134" s="14" t="s">
        <v>66</v>
      </c>
      <c r="C134" s="28">
        <v>496241</v>
      </c>
      <c r="D134" s="28">
        <v>260120</v>
      </c>
      <c r="E134" s="28">
        <f>91615+22729</f>
        <v>114344</v>
      </c>
      <c r="F134" s="28">
        <v>290470</v>
      </c>
      <c r="G134" s="28">
        <f>SUM(C134:F134)</f>
        <v>1161175</v>
      </c>
    </row>
    <row r="135" spans="2:9" x14ac:dyDescent="0.25">
      <c r="B135" s="69"/>
      <c r="C135" s="69"/>
      <c r="D135" s="69"/>
      <c r="E135" s="69"/>
      <c r="F135" s="69"/>
      <c r="G135" s="69"/>
      <c r="H135" s="69"/>
    </row>
    <row r="136" spans="2:9" ht="21" x14ac:dyDescent="0.35">
      <c r="B136" s="77" t="s">
        <v>67</v>
      </c>
      <c r="C136" s="77"/>
      <c r="D136" s="77"/>
      <c r="E136" s="77"/>
      <c r="F136" s="77"/>
      <c r="G136" s="77"/>
    </row>
    <row r="137" spans="2:9" x14ac:dyDescent="0.25">
      <c r="B137" s="68" t="s">
        <v>68</v>
      </c>
      <c r="C137" s="68"/>
      <c r="D137" s="68"/>
      <c r="E137" s="68"/>
      <c r="F137" s="68"/>
      <c r="G137" s="68"/>
    </row>
    <row r="138" spans="2:9" x14ac:dyDescent="0.25">
      <c r="B138" s="14" t="s">
        <v>69</v>
      </c>
      <c r="C138" s="28">
        <v>0</v>
      </c>
      <c r="D138" s="28">
        <v>4690</v>
      </c>
      <c r="E138" s="28">
        <v>0</v>
      </c>
      <c r="F138" s="28">
        <v>15652</v>
      </c>
      <c r="G138" s="28">
        <f>SUM(C138:F138)</f>
        <v>20342</v>
      </c>
      <c r="H138" s="7"/>
      <c r="I138" s="7"/>
    </row>
    <row r="139" spans="2:9" x14ac:dyDescent="0.25">
      <c r="B139" s="14" t="s">
        <v>70</v>
      </c>
      <c r="C139" s="28">
        <v>0</v>
      </c>
      <c r="D139" s="28">
        <v>2</v>
      </c>
      <c r="E139" s="28">
        <v>0</v>
      </c>
      <c r="F139" s="28">
        <v>173</v>
      </c>
      <c r="G139" s="28">
        <f>SUM(C139:F139)</f>
        <v>175</v>
      </c>
      <c r="H139" s="7"/>
      <c r="I139" s="7"/>
    </row>
    <row r="140" spans="2:9" x14ac:dyDescent="0.25">
      <c r="B140" s="69"/>
      <c r="C140" s="69"/>
      <c r="D140" s="69"/>
      <c r="E140" s="69"/>
      <c r="F140" s="69"/>
      <c r="G140" s="69"/>
      <c r="H140" s="69"/>
      <c r="I140" s="7"/>
    </row>
    <row r="141" spans="2:9" x14ac:dyDescent="0.25">
      <c r="B141" s="69"/>
      <c r="C141" s="69"/>
      <c r="D141" s="69"/>
      <c r="E141" s="69"/>
      <c r="F141" s="69"/>
      <c r="G141" s="69"/>
      <c r="H141" s="69"/>
    </row>
    <row r="142" spans="2:9" ht="21" x14ac:dyDescent="0.35">
      <c r="B142" s="78" t="s">
        <v>71</v>
      </c>
      <c r="C142" s="79"/>
      <c r="D142" s="79"/>
      <c r="E142" s="79"/>
      <c r="F142" s="79"/>
      <c r="G142" s="80"/>
    </row>
    <row r="143" spans="2:9" x14ac:dyDescent="0.25">
      <c r="B143" s="74" t="s">
        <v>72</v>
      </c>
      <c r="C143" s="75"/>
      <c r="D143" s="75"/>
      <c r="E143" s="75"/>
      <c r="F143" s="75"/>
      <c r="G143" s="76"/>
    </row>
    <row r="144" spans="2:9" x14ac:dyDescent="0.25">
      <c r="B144" s="69"/>
      <c r="C144" s="69"/>
      <c r="D144" s="69"/>
      <c r="E144" s="69"/>
      <c r="F144" s="69"/>
      <c r="G144" s="69"/>
      <c r="H144" s="69"/>
    </row>
    <row r="145" spans="2:8" x14ac:dyDescent="0.25">
      <c r="B145" s="73" t="s">
        <v>73</v>
      </c>
      <c r="C145" s="73"/>
      <c r="D145" s="73"/>
      <c r="E145" s="73"/>
      <c r="F145" s="73"/>
      <c r="G145" s="73"/>
    </row>
    <row r="146" spans="2:8" x14ac:dyDescent="0.25">
      <c r="B146" s="14" t="s">
        <v>74</v>
      </c>
      <c r="C146" s="28">
        <v>0</v>
      </c>
      <c r="D146" s="28">
        <v>3150</v>
      </c>
      <c r="E146" s="28">
        <v>0</v>
      </c>
      <c r="F146" s="28">
        <v>1307</v>
      </c>
      <c r="G146" s="28">
        <f>SUM(C146:F146)</f>
        <v>4457</v>
      </c>
    </row>
    <row r="147" spans="2:8" x14ac:dyDescent="0.25">
      <c r="B147" s="14" t="s">
        <v>75</v>
      </c>
      <c r="C147" s="28">
        <v>0</v>
      </c>
      <c r="D147" s="28">
        <v>68.8185</v>
      </c>
      <c r="E147" s="28">
        <v>0</v>
      </c>
      <c r="F147" s="28">
        <v>15.8125</v>
      </c>
      <c r="G147" s="11">
        <f>SUM(C147:F147)</f>
        <v>84.631</v>
      </c>
    </row>
    <row r="148" spans="2:8" x14ac:dyDescent="0.25">
      <c r="B148" s="69"/>
      <c r="C148" s="69"/>
      <c r="D148" s="69"/>
      <c r="E148" s="69"/>
      <c r="F148" s="69"/>
      <c r="G148" s="69"/>
      <c r="H148" s="69"/>
    </row>
    <row r="149" spans="2:8" x14ac:dyDescent="0.25">
      <c r="B149" s="73" t="s">
        <v>76</v>
      </c>
      <c r="C149" s="73"/>
      <c r="D149" s="73"/>
      <c r="E149" s="73"/>
      <c r="F149" s="73"/>
      <c r="G149" s="73"/>
    </row>
    <row r="150" spans="2:8" x14ac:dyDescent="0.25">
      <c r="B150" s="14" t="s">
        <v>77</v>
      </c>
      <c r="C150" s="28">
        <v>0</v>
      </c>
      <c r="D150" s="28">
        <v>0</v>
      </c>
      <c r="E150" s="28">
        <v>0</v>
      </c>
      <c r="F150" s="28">
        <v>0</v>
      </c>
      <c r="G150" s="28">
        <f>SUM(C150:F150)</f>
        <v>0</v>
      </c>
      <c r="H150"/>
    </row>
    <row r="151" spans="2:8" x14ac:dyDescent="0.25">
      <c r="B151" s="14" t="s">
        <v>78</v>
      </c>
      <c r="C151" s="28">
        <v>0</v>
      </c>
      <c r="D151" s="28">
        <v>0.12</v>
      </c>
      <c r="E151" s="28">
        <f>11000/1000000</f>
        <v>1.0999999999999999E-2</v>
      </c>
      <c r="F151" s="28">
        <v>0</v>
      </c>
      <c r="G151" s="11">
        <f>SUM(C151:F151)</f>
        <v>0.13100000000000001</v>
      </c>
      <c r="H151"/>
    </row>
    <row r="152" spans="2:8" x14ac:dyDescent="0.25">
      <c r="B152" s="69"/>
      <c r="C152" s="69"/>
      <c r="D152" s="69"/>
      <c r="E152" s="69"/>
      <c r="F152" s="69"/>
      <c r="G152" s="69"/>
      <c r="H152" s="69"/>
    </row>
    <row r="153" spans="2:8" x14ac:dyDescent="0.25">
      <c r="B153" s="73" t="s">
        <v>79</v>
      </c>
      <c r="C153" s="73"/>
      <c r="D153" s="73"/>
      <c r="E153" s="73"/>
      <c r="F153" s="73"/>
      <c r="G153" s="73"/>
    </row>
    <row r="154" spans="2:8" x14ac:dyDescent="0.25">
      <c r="B154" s="14" t="s">
        <v>80</v>
      </c>
      <c r="C154" s="14">
        <v>0</v>
      </c>
      <c r="D154" s="28">
        <v>90</v>
      </c>
      <c r="E154" s="36">
        <v>0</v>
      </c>
      <c r="F154" s="35">
        <v>0</v>
      </c>
      <c r="G154" s="28">
        <f>SUM(C154:F154)</f>
        <v>90</v>
      </c>
      <c r="H154"/>
    </row>
    <row r="155" spans="2:8" x14ac:dyDescent="0.25">
      <c r="B155" s="14" t="s">
        <v>81</v>
      </c>
      <c r="C155" s="28">
        <v>0</v>
      </c>
      <c r="D155" s="28">
        <v>1.37</v>
      </c>
      <c r="E155" s="36">
        <v>0</v>
      </c>
      <c r="F155" s="35">
        <v>0</v>
      </c>
      <c r="G155" s="11">
        <f>SUM(C155:F155)</f>
        <v>1.37</v>
      </c>
      <c r="H155"/>
    </row>
    <row r="156" spans="2:8" x14ac:dyDescent="0.25">
      <c r="B156" s="69"/>
      <c r="C156" s="69"/>
      <c r="D156" s="69"/>
      <c r="E156" s="69"/>
      <c r="F156" s="69"/>
      <c r="G156" s="69"/>
      <c r="H156" s="69"/>
    </row>
    <row r="157" spans="2:8" x14ac:dyDescent="0.25">
      <c r="B157" s="70" t="s">
        <v>82</v>
      </c>
      <c r="C157" s="71"/>
      <c r="D157" s="71"/>
      <c r="E157" s="71"/>
      <c r="F157" s="71"/>
      <c r="G157" s="72"/>
    </row>
    <row r="158" spans="2:8" x14ac:dyDescent="0.25">
      <c r="B158" s="18" t="s">
        <v>83</v>
      </c>
      <c r="C158" s="19">
        <v>0</v>
      </c>
      <c r="D158" s="19">
        <f>D146+D150+D154</f>
        <v>3240</v>
      </c>
      <c r="E158" s="19">
        <v>0</v>
      </c>
      <c r="F158" s="19">
        <f>F146+F154</f>
        <v>1307</v>
      </c>
      <c r="G158" s="19">
        <f>SUM(C158:F158)</f>
        <v>4547</v>
      </c>
    </row>
    <row r="159" spans="2:8" x14ac:dyDescent="0.25">
      <c r="B159" s="18" t="s">
        <v>84</v>
      </c>
      <c r="C159" s="19">
        <v>0</v>
      </c>
      <c r="D159" s="19">
        <f>D147+D151+D155</f>
        <v>70.308500000000009</v>
      </c>
      <c r="E159" s="19">
        <v>1.0999999999999999E-2</v>
      </c>
      <c r="F159" s="19">
        <f>F147+F155</f>
        <v>15.8125</v>
      </c>
      <c r="G159" s="22">
        <f>SUM(C159:F159)</f>
        <v>86.132000000000005</v>
      </c>
    </row>
    <row r="160" spans="2:8" x14ac:dyDescent="0.25">
      <c r="B160" s="69"/>
      <c r="C160" s="69"/>
      <c r="D160" s="69"/>
      <c r="E160" s="69"/>
      <c r="F160" s="69"/>
      <c r="G160" s="69"/>
      <c r="H160" s="69"/>
    </row>
    <row r="161" spans="2:8" x14ac:dyDescent="0.25">
      <c r="B161" s="68" t="s">
        <v>85</v>
      </c>
      <c r="C161" s="68"/>
      <c r="D161" s="68"/>
      <c r="E161" s="68"/>
      <c r="F161" s="68"/>
      <c r="G161" s="68"/>
    </row>
    <row r="162" spans="2:8" x14ac:dyDescent="0.25">
      <c r="B162" s="14" t="s">
        <v>80</v>
      </c>
      <c r="C162" s="28">
        <v>3548</v>
      </c>
      <c r="D162" s="28">
        <v>40943</v>
      </c>
      <c r="E162" s="28">
        <v>3974</v>
      </c>
      <c r="F162" s="28">
        <v>21162</v>
      </c>
      <c r="G162" s="28">
        <f>SUM(C162:F162)</f>
        <v>69627</v>
      </c>
    </row>
    <row r="163" spans="2:8" x14ac:dyDescent="0.25">
      <c r="B163" s="14" t="s">
        <v>81</v>
      </c>
      <c r="C163" s="28">
        <f>88022621/1000000</f>
        <v>88.022621000000001</v>
      </c>
      <c r="D163" s="28">
        <v>233.29119100000003</v>
      </c>
      <c r="E163" s="28">
        <f>62316964/1000000</f>
        <v>62.316963999999999</v>
      </c>
      <c r="F163" s="28">
        <v>133.36049600000001</v>
      </c>
      <c r="G163" s="11">
        <f>SUM(C163:F163)</f>
        <v>516.99127199999998</v>
      </c>
    </row>
    <row r="164" spans="2:8" x14ac:dyDescent="0.25">
      <c r="B164" s="69"/>
      <c r="C164" s="69"/>
      <c r="D164" s="69"/>
      <c r="E164" s="69"/>
      <c r="F164" s="69"/>
      <c r="G164" s="69"/>
    </row>
    <row r="165" spans="2:8" x14ac:dyDescent="0.25">
      <c r="B165" s="74" t="s">
        <v>86</v>
      </c>
      <c r="C165" s="75"/>
      <c r="D165" s="75"/>
      <c r="E165" s="75"/>
      <c r="F165" s="75"/>
      <c r="G165" s="76"/>
    </row>
    <row r="166" spans="2:8" x14ac:dyDescent="0.25">
      <c r="B166" s="70" t="s">
        <v>87</v>
      </c>
      <c r="C166" s="71"/>
      <c r="D166" s="71"/>
      <c r="E166" s="71"/>
      <c r="F166" s="71"/>
      <c r="G166" s="72"/>
    </row>
    <row r="167" spans="2:8" x14ac:dyDescent="0.25">
      <c r="B167" s="14" t="s">
        <v>88</v>
      </c>
      <c r="C167" s="28">
        <v>355</v>
      </c>
      <c r="D167" s="28">
        <v>2938</v>
      </c>
      <c r="E167" s="28">
        <v>535</v>
      </c>
      <c r="F167" s="28">
        <v>530</v>
      </c>
      <c r="G167" s="28">
        <f>SUM(C167:F167)</f>
        <v>4358</v>
      </c>
    </row>
    <row r="168" spans="2:8" x14ac:dyDescent="0.25">
      <c r="B168" s="14" t="s">
        <v>89</v>
      </c>
      <c r="C168" s="28">
        <f>8875000/1000000</f>
        <v>8.875</v>
      </c>
      <c r="D168" s="28">
        <v>67.302499999999995</v>
      </c>
      <c r="E168" s="28">
        <f>9035000/1000000</f>
        <v>9.0350000000000001</v>
      </c>
      <c r="F168" s="28">
        <v>18.934999999999999</v>
      </c>
      <c r="G168" s="11">
        <f>SUM(C168:F168)</f>
        <v>104.14749999999999</v>
      </c>
    </row>
    <row r="169" spans="2:8" x14ac:dyDescent="0.25">
      <c r="B169" s="69"/>
      <c r="C169" s="69"/>
      <c r="D169" s="69"/>
      <c r="E169" s="69"/>
      <c r="F169" s="69"/>
      <c r="G169" s="69"/>
    </row>
    <row r="170" spans="2:8" x14ac:dyDescent="0.25">
      <c r="B170" s="70" t="s">
        <v>90</v>
      </c>
      <c r="C170" s="71"/>
      <c r="D170" s="71"/>
      <c r="E170" s="71"/>
      <c r="F170" s="71"/>
      <c r="G170" s="72"/>
    </row>
    <row r="171" spans="2:8" x14ac:dyDescent="0.25">
      <c r="B171" s="14" t="s">
        <v>91</v>
      </c>
      <c r="C171" s="28">
        <v>1363</v>
      </c>
      <c r="D171" s="28">
        <v>544</v>
      </c>
      <c r="E171" s="28">
        <v>132</v>
      </c>
      <c r="F171" s="28">
        <v>390</v>
      </c>
      <c r="G171" s="28">
        <f>SUM(C171:F171)</f>
        <v>2429</v>
      </c>
    </row>
    <row r="172" spans="2:8" x14ac:dyDescent="0.25">
      <c r="B172" s="14" t="s">
        <v>89</v>
      </c>
      <c r="C172" s="28">
        <f>29986000/1000000</f>
        <v>29.986000000000001</v>
      </c>
      <c r="D172" s="28">
        <v>11.423999999999999</v>
      </c>
      <c r="E172" s="28">
        <f>3300000/1000000</f>
        <v>3.3</v>
      </c>
      <c r="F172" s="28">
        <v>8.5739999999999998</v>
      </c>
      <c r="G172" s="11">
        <f>SUM(C172:F172)</f>
        <v>53.283999999999992</v>
      </c>
    </row>
    <row r="173" spans="2:8" x14ac:dyDescent="0.25">
      <c r="B173" s="69"/>
      <c r="C173" s="69"/>
      <c r="D173" s="69"/>
      <c r="E173" s="69"/>
      <c r="F173" s="69"/>
      <c r="G173" s="69"/>
      <c r="H173" s="69"/>
    </row>
    <row r="174" spans="2:8" x14ac:dyDescent="0.25">
      <c r="B174" s="70" t="s">
        <v>92</v>
      </c>
      <c r="C174" s="71"/>
      <c r="D174" s="71"/>
      <c r="E174" s="71"/>
      <c r="F174" s="71"/>
      <c r="G174" s="72"/>
    </row>
    <row r="175" spans="2:8" x14ac:dyDescent="0.25">
      <c r="B175" s="14" t="s">
        <v>91</v>
      </c>
      <c r="C175" s="28">
        <v>346</v>
      </c>
      <c r="D175" s="28">
        <v>249</v>
      </c>
      <c r="E175" s="28">
        <v>207</v>
      </c>
      <c r="F175" s="28">
        <v>35</v>
      </c>
      <c r="G175" s="28">
        <f>SUM(C175:F175)</f>
        <v>837</v>
      </c>
    </row>
    <row r="176" spans="2:8" x14ac:dyDescent="0.25">
      <c r="B176" s="14" t="s">
        <v>89</v>
      </c>
      <c r="C176" s="28">
        <f>24220000/1000000</f>
        <v>24.22</v>
      </c>
      <c r="D176" s="28">
        <v>26.24</v>
      </c>
      <c r="E176" s="28">
        <f>11668773/1000000</f>
        <v>11.668773</v>
      </c>
      <c r="F176" s="28">
        <v>3.61</v>
      </c>
      <c r="G176" s="11">
        <f>SUM(C176:F176)</f>
        <v>65.738772999999995</v>
      </c>
    </row>
    <row r="177" spans="2:8" x14ac:dyDescent="0.25">
      <c r="B177" s="69"/>
      <c r="C177" s="69"/>
      <c r="D177" s="69"/>
      <c r="E177" s="69"/>
      <c r="F177" s="69"/>
      <c r="G177" s="69"/>
      <c r="H177" s="69"/>
    </row>
    <row r="178" spans="2:8" x14ac:dyDescent="0.25">
      <c r="B178" s="70" t="s">
        <v>93</v>
      </c>
      <c r="C178" s="71"/>
      <c r="D178" s="71"/>
      <c r="E178" s="71"/>
      <c r="F178" s="71"/>
      <c r="G178" s="72"/>
    </row>
    <row r="179" spans="2:8" x14ac:dyDescent="0.25">
      <c r="B179" s="14" t="s">
        <v>91</v>
      </c>
      <c r="C179" s="28">
        <v>346</v>
      </c>
      <c r="D179" s="28">
        <v>177172</v>
      </c>
      <c r="E179" s="28">
        <v>0</v>
      </c>
      <c r="F179" s="28">
        <v>0</v>
      </c>
      <c r="G179" s="28">
        <f>SUM(C179:F179)</f>
        <v>177518</v>
      </c>
    </row>
    <row r="180" spans="2:8" x14ac:dyDescent="0.25">
      <c r="B180" s="14" t="s">
        <v>89</v>
      </c>
      <c r="C180" s="28">
        <f>10760000/1000000</f>
        <v>10.76</v>
      </c>
      <c r="D180" s="28">
        <v>2755.2721601913713</v>
      </c>
      <c r="E180" s="28">
        <v>0</v>
      </c>
      <c r="F180" s="28">
        <v>0</v>
      </c>
      <c r="G180" s="11">
        <f>SUM(C180:F180)</f>
        <v>2766.0321601913715</v>
      </c>
    </row>
    <row r="181" spans="2:8" x14ac:dyDescent="0.25">
      <c r="B181" s="69"/>
      <c r="C181" s="69"/>
      <c r="D181" s="69"/>
      <c r="E181" s="69"/>
      <c r="F181" s="69"/>
      <c r="G181" s="69"/>
      <c r="H181" s="69"/>
    </row>
    <row r="182" spans="2:8" x14ac:dyDescent="0.25">
      <c r="B182" s="68" t="s">
        <v>94</v>
      </c>
      <c r="C182" s="68"/>
      <c r="D182" s="68"/>
      <c r="E182" s="68"/>
      <c r="F182" s="68"/>
      <c r="G182" s="68"/>
    </row>
    <row r="183" spans="2:8" x14ac:dyDescent="0.25">
      <c r="B183" s="18" t="s">
        <v>95</v>
      </c>
      <c r="C183" s="19">
        <f>+C179+C175+C171+C167</f>
        <v>2410</v>
      </c>
      <c r="D183" s="19">
        <f>D167+D171+D175+D179</f>
        <v>180903</v>
      </c>
      <c r="E183" s="19">
        <f t="shared" ref="E183:E184" si="4">+E179+E175+E171+E167</f>
        <v>874</v>
      </c>
      <c r="F183" s="19">
        <f>+F179+F175+F171+F167</f>
        <v>955</v>
      </c>
      <c r="G183" s="19">
        <f>SUM(C183:F183)</f>
        <v>185142</v>
      </c>
    </row>
    <row r="184" spans="2:8" x14ac:dyDescent="0.25">
      <c r="B184" s="18" t="s">
        <v>96</v>
      </c>
      <c r="C184" s="19">
        <f>+C180+C176+C172+C168</f>
        <v>73.840999999999994</v>
      </c>
      <c r="D184" s="19">
        <f>D168+D172+D176+D180</f>
        <v>2860.2386601913713</v>
      </c>
      <c r="E184" s="19">
        <f t="shared" si="4"/>
        <v>24.003772999999999</v>
      </c>
      <c r="F184" s="19">
        <f>+F180+F176+F172+F168</f>
        <v>31.119</v>
      </c>
      <c r="G184" s="22">
        <f>SUM(C184:F184)</f>
        <v>2989.2024331913713</v>
      </c>
    </row>
    <row r="185" spans="2:8" x14ac:dyDescent="0.25">
      <c r="B185" s="69"/>
      <c r="C185" s="69"/>
      <c r="D185" s="69"/>
      <c r="E185" s="69"/>
      <c r="F185" s="69"/>
      <c r="G185" s="69"/>
      <c r="H185" s="69"/>
    </row>
    <row r="186" spans="2:8" x14ac:dyDescent="0.25">
      <c r="B186" s="68" t="s">
        <v>97</v>
      </c>
      <c r="C186" s="68"/>
      <c r="D186" s="68"/>
      <c r="E186" s="68"/>
      <c r="F186" s="68"/>
      <c r="G186" s="68"/>
    </row>
    <row r="187" spans="2:8" x14ac:dyDescent="0.25">
      <c r="B187" s="14" t="s">
        <v>98</v>
      </c>
      <c r="C187" s="28">
        <v>5822</v>
      </c>
      <c r="D187" s="28">
        <v>3052</v>
      </c>
      <c r="E187" s="28">
        <v>75</v>
      </c>
      <c r="F187" s="28">
        <v>23424</v>
      </c>
      <c r="G187" s="28">
        <f>SUM(C187:F187)</f>
        <v>32373</v>
      </c>
    </row>
    <row r="188" spans="2:8" x14ac:dyDescent="0.25">
      <c r="B188" s="14" t="s">
        <v>99</v>
      </c>
      <c r="C188" s="28">
        <f>50373246/1000000</f>
        <v>50.373246000000002</v>
      </c>
      <c r="D188" s="28">
        <v>69.401284000000004</v>
      </c>
      <c r="E188" s="28">
        <f>3010000/1000000</f>
        <v>3.01</v>
      </c>
      <c r="F188" s="28">
        <v>180.29199600000004</v>
      </c>
      <c r="G188" s="11">
        <f>SUM(C188:F188)</f>
        <v>303.07652600000006</v>
      </c>
    </row>
    <row r="189" spans="2:8" x14ac:dyDescent="0.25">
      <c r="B189" s="69"/>
      <c r="C189" s="69"/>
      <c r="D189" s="69"/>
      <c r="E189" s="69"/>
      <c r="F189" s="69"/>
      <c r="G189" s="69"/>
      <c r="H189" s="69"/>
    </row>
    <row r="190" spans="2:8" x14ac:dyDescent="0.25">
      <c r="B190" s="68" t="s">
        <v>100</v>
      </c>
      <c r="C190" s="68"/>
      <c r="D190" s="68"/>
      <c r="E190" s="68"/>
      <c r="F190" s="68"/>
      <c r="G190" s="68"/>
    </row>
    <row r="191" spans="2:8" x14ac:dyDescent="0.25">
      <c r="B191" s="18" t="s">
        <v>101</v>
      </c>
      <c r="C191" s="19">
        <f>C187+C162+C183</f>
        <v>11780</v>
      </c>
      <c r="D191" s="19">
        <f>+D187+D183+D162+D158</f>
        <v>228138</v>
      </c>
      <c r="E191" s="19">
        <f t="shared" ref="E191:E192" si="5">+E187+E183+E162+E158</f>
        <v>4923</v>
      </c>
      <c r="F191" s="19">
        <f>F158+F162+F183+F187</f>
        <v>46848</v>
      </c>
      <c r="G191" s="19">
        <f>SUM(C191:F191)</f>
        <v>291689</v>
      </c>
    </row>
    <row r="192" spans="2:8" x14ac:dyDescent="0.25">
      <c r="B192" s="18" t="s">
        <v>102</v>
      </c>
      <c r="C192" s="19">
        <f>C188+C163+C184</f>
        <v>212.23686700000002</v>
      </c>
      <c r="D192" s="19">
        <f>+D188+D184+D163+D159</f>
        <v>3233.2396351913712</v>
      </c>
      <c r="E192" s="19">
        <f t="shared" si="5"/>
        <v>89.341736999999995</v>
      </c>
      <c r="F192" s="19">
        <f>F159+F184+F163+F188</f>
        <v>360.58399200000008</v>
      </c>
      <c r="G192" s="22">
        <f>SUM(C192:F192)</f>
        <v>3895.4022311913714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G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195"/>
  <sheetViews>
    <sheetView zoomScaleNormal="100" workbookViewId="0">
      <selection activeCell="I2" sqref="I2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3" width="17.42578125" bestFit="1" customWidth="1"/>
    <col min="4" max="4" width="16.42578125" bestFit="1" customWidth="1"/>
    <col min="5" max="5" width="16.28515625" bestFit="1" customWidth="1"/>
    <col min="6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7" t="s">
        <v>1</v>
      </c>
      <c r="D2" s="88"/>
      <c r="E2" s="88"/>
      <c r="F2" s="88"/>
      <c r="G2" s="89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8" t="s">
        <v>7</v>
      </c>
      <c r="C4" s="79"/>
      <c r="D4" s="79"/>
      <c r="E4" s="79"/>
      <c r="F4" s="79"/>
      <c r="G4" s="80"/>
    </row>
    <row r="5" spans="1:7" x14ac:dyDescent="0.25">
      <c r="B5" s="74" t="s">
        <v>103</v>
      </c>
      <c r="C5" s="75"/>
      <c r="D5" s="75"/>
      <c r="E5" s="75"/>
      <c r="F5" s="75"/>
      <c r="G5" s="76"/>
    </row>
    <row r="6" spans="1:7" x14ac:dyDescent="0.25">
      <c r="B6" s="4" t="s">
        <v>104</v>
      </c>
      <c r="C6" s="12">
        <v>55053</v>
      </c>
      <c r="D6" s="12">
        <v>8231</v>
      </c>
      <c r="E6" s="12">
        <v>9138</v>
      </c>
      <c r="F6" s="12">
        <v>10400</v>
      </c>
      <c r="G6" s="12">
        <f>+F6+E6+D6+C6</f>
        <v>82822</v>
      </c>
    </row>
    <row r="7" spans="1:7" x14ac:dyDescent="0.25">
      <c r="B7" s="14" t="s">
        <v>105</v>
      </c>
      <c r="C7" s="12">
        <v>520</v>
      </c>
      <c r="D7" s="12">
        <v>225</v>
      </c>
      <c r="E7" s="12">
        <v>12</v>
      </c>
      <c r="F7" s="12">
        <v>140</v>
      </c>
      <c r="G7" s="12">
        <f>+F7+E7+D7+C7</f>
        <v>897</v>
      </c>
    </row>
    <row r="8" spans="1:7" x14ac:dyDescent="0.25">
      <c r="B8" s="18" t="s">
        <v>106</v>
      </c>
      <c r="C8" s="25">
        <v>55573</v>
      </c>
      <c r="D8" s="25">
        <f>+D6+D7</f>
        <v>8456</v>
      </c>
      <c r="E8" s="25">
        <v>9150</v>
      </c>
      <c r="F8" s="25">
        <v>10540</v>
      </c>
      <c r="G8" s="25">
        <f>+F8+E8+D8+C8</f>
        <v>83719</v>
      </c>
    </row>
    <row r="9" spans="1:7" x14ac:dyDescent="0.25">
      <c r="B9" s="69"/>
      <c r="C9" s="69"/>
      <c r="D9" s="69"/>
      <c r="E9" s="69"/>
      <c r="F9" s="69"/>
      <c r="G9" s="69"/>
    </row>
    <row r="10" spans="1:7" x14ac:dyDescent="0.25">
      <c r="B10" s="74" t="s">
        <v>8</v>
      </c>
      <c r="C10" s="75"/>
      <c r="D10" s="75"/>
      <c r="E10" s="75"/>
      <c r="F10" s="75"/>
      <c r="G10" s="76"/>
    </row>
    <row r="11" spans="1:7" x14ac:dyDescent="0.25">
      <c r="B11" s="70" t="s">
        <v>9</v>
      </c>
      <c r="C11" s="71"/>
      <c r="D11" s="71"/>
      <c r="E11" s="71"/>
      <c r="F11" s="71"/>
      <c r="G11" s="72"/>
    </row>
    <row r="12" spans="1:7" x14ac:dyDescent="0.25">
      <c r="B12" s="16" t="s">
        <v>10</v>
      </c>
      <c r="C12" s="17">
        <v>935641</v>
      </c>
      <c r="D12" s="17">
        <v>140776</v>
      </c>
      <c r="E12" s="17">
        <v>56964</v>
      </c>
      <c r="F12" s="17">
        <v>0</v>
      </c>
      <c r="G12" s="17">
        <f>SUM(C12:F12)</f>
        <v>1133381</v>
      </c>
    </row>
    <row r="13" spans="1:7" x14ac:dyDescent="0.25">
      <c r="B13" s="16" t="s">
        <v>11</v>
      </c>
      <c r="C13" s="17">
        <v>2369749</v>
      </c>
      <c r="D13" s="17">
        <v>531458</v>
      </c>
      <c r="E13" s="17">
        <v>236745</v>
      </c>
      <c r="F13" s="17">
        <v>0</v>
      </c>
      <c r="G13" s="17">
        <f>SUM(C13:F13)</f>
        <v>3137952</v>
      </c>
    </row>
    <row r="14" spans="1:7" x14ac:dyDescent="0.25">
      <c r="B14" s="18" t="s">
        <v>12</v>
      </c>
      <c r="C14" s="19">
        <v>3305390</v>
      </c>
      <c r="D14" s="19">
        <v>1014012</v>
      </c>
      <c r="E14" s="19">
        <v>293709</v>
      </c>
      <c r="F14" s="19">
        <v>96571</v>
      </c>
      <c r="G14" s="19">
        <f>SUM(C14:F14)</f>
        <v>4709682</v>
      </c>
    </row>
    <row r="15" spans="1:7" x14ac:dyDescent="0.25">
      <c r="B15" s="18" t="s">
        <v>13</v>
      </c>
      <c r="C15" s="19">
        <v>431241</v>
      </c>
      <c r="D15" s="19">
        <v>152477</v>
      </c>
      <c r="E15" s="19">
        <v>2978</v>
      </c>
      <c r="F15" s="19">
        <v>378898</v>
      </c>
      <c r="G15" s="19">
        <f>SUM(C15:F15)</f>
        <v>965594</v>
      </c>
    </row>
    <row r="16" spans="1:7" x14ac:dyDescent="0.25">
      <c r="B16" s="18" t="s">
        <v>14</v>
      </c>
      <c r="C16" s="19">
        <v>3736631</v>
      </c>
      <c r="D16" s="19">
        <v>1166489</v>
      </c>
      <c r="E16" s="19">
        <v>296687</v>
      </c>
      <c r="F16" s="19">
        <v>475469</v>
      </c>
      <c r="G16" s="19">
        <f>SUM(C16:F16)</f>
        <v>5675276</v>
      </c>
    </row>
    <row r="17" spans="2:8" x14ac:dyDescent="0.25">
      <c r="B17" s="69"/>
      <c r="C17" s="69"/>
      <c r="D17" s="69"/>
      <c r="E17" s="69"/>
      <c r="F17" s="69"/>
      <c r="G17" s="69"/>
    </row>
    <row r="18" spans="2:8" x14ac:dyDescent="0.25">
      <c r="B18" s="70" t="s">
        <v>15</v>
      </c>
      <c r="C18" s="71"/>
      <c r="D18" s="71"/>
      <c r="E18" s="71"/>
      <c r="F18" s="71"/>
      <c r="G18" s="72"/>
    </row>
    <row r="19" spans="2:8" x14ac:dyDescent="0.25">
      <c r="B19" s="14" t="s">
        <v>16</v>
      </c>
      <c r="C19" s="17">
        <v>3580</v>
      </c>
      <c r="D19" s="17">
        <v>4</v>
      </c>
      <c r="E19" s="17">
        <v>0</v>
      </c>
      <c r="F19" s="17">
        <v>0</v>
      </c>
      <c r="G19" s="17">
        <f>SUM(C19:F19)</f>
        <v>3584</v>
      </c>
    </row>
    <row r="20" spans="2:8" x14ac:dyDescent="0.25">
      <c r="B20" s="90"/>
      <c r="C20" s="90"/>
      <c r="D20" s="90"/>
      <c r="E20" s="90"/>
      <c r="F20" s="90"/>
      <c r="G20" s="90"/>
    </row>
    <row r="21" spans="2:8" x14ac:dyDescent="0.25">
      <c r="B21" s="18" t="s">
        <v>17</v>
      </c>
      <c r="C21" s="19">
        <f>+C19+C16</f>
        <v>3740211</v>
      </c>
      <c r="D21" s="19">
        <v>1166493</v>
      </c>
      <c r="E21" s="19">
        <f>+E19+E16</f>
        <v>296687</v>
      </c>
      <c r="F21" s="19">
        <f>F16</f>
        <v>475469</v>
      </c>
      <c r="G21" s="19">
        <f>SUM(C21:F21)</f>
        <v>5678860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18</v>
      </c>
      <c r="C23" s="9"/>
      <c r="D23" s="9"/>
      <c r="E23" s="9"/>
      <c r="F23" s="9"/>
      <c r="G23" s="10"/>
    </row>
    <row r="24" spans="2:8" x14ac:dyDescent="0.25">
      <c r="B24" s="18" t="s">
        <v>19</v>
      </c>
      <c r="C24" s="19">
        <v>399189</v>
      </c>
      <c r="D24" s="19">
        <v>201797</v>
      </c>
      <c r="E24" s="19">
        <v>131183</v>
      </c>
      <c r="F24" s="19">
        <v>665929</v>
      </c>
      <c r="G24" s="19">
        <f>SUM(C24:F24)</f>
        <v>1398098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20</v>
      </c>
      <c r="C26" s="9"/>
      <c r="D26" s="9"/>
      <c r="E26" s="9"/>
      <c r="F26" s="9"/>
      <c r="G26" s="10"/>
    </row>
    <row r="27" spans="2:8" x14ac:dyDescent="0.25">
      <c r="B27" s="18" t="s">
        <v>21</v>
      </c>
      <c r="C27" s="19">
        <f>+C24+C21</f>
        <v>4139400</v>
      </c>
      <c r="D27" s="19">
        <f>+D24+D21</f>
        <v>1368290</v>
      </c>
      <c r="E27" s="19">
        <f>+E21+E24</f>
        <v>427870</v>
      </c>
      <c r="F27" s="19">
        <f>+F24+F21</f>
        <v>1141398</v>
      </c>
      <c r="G27" s="19">
        <f>SUM(C27:F27)</f>
        <v>7076958</v>
      </c>
    </row>
    <row r="28" spans="2:8" x14ac:dyDescent="0.25">
      <c r="B28" s="69"/>
      <c r="C28" s="69"/>
      <c r="D28" s="69"/>
      <c r="E28" s="69"/>
      <c r="F28" s="69"/>
      <c r="G28" s="69"/>
      <c r="H28" s="69"/>
    </row>
    <row r="29" spans="2:8" x14ac:dyDescent="0.25">
      <c r="B29" s="74" t="s">
        <v>22</v>
      </c>
      <c r="C29" s="75"/>
      <c r="D29" s="75"/>
      <c r="E29" s="75"/>
      <c r="F29" s="75"/>
      <c r="G29" s="76"/>
    </row>
    <row r="30" spans="2:8" x14ac:dyDescent="0.25">
      <c r="B30" s="14" t="s">
        <v>23</v>
      </c>
      <c r="C30" s="28">
        <v>1207082</v>
      </c>
      <c r="D30" s="28">
        <v>184451</v>
      </c>
      <c r="E30" s="28">
        <v>90544</v>
      </c>
      <c r="F30" s="28">
        <v>190191</v>
      </c>
      <c r="G30" s="28">
        <f>SUM(C30:F30)</f>
        <v>1672268</v>
      </c>
    </row>
    <row r="31" spans="2:8" x14ac:dyDescent="0.25">
      <c r="B31" s="69"/>
      <c r="C31" s="69"/>
      <c r="D31" s="69"/>
      <c r="E31" s="69"/>
      <c r="F31" s="69"/>
      <c r="G31" s="69"/>
      <c r="H31" s="69"/>
    </row>
    <row r="32" spans="2:8" x14ac:dyDescent="0.25">
      <c r="B32" s="74" t="s">
        <v>107</v>
      </c>
      <c r="C32" s="75"/>
      <c r="D32" s="75"/>
      <c r="E32" s="75"/>
      <c r="F32" s="75"/>
      <c r="G32" s="76"/>
    </row>
    <row r="33" spans="2:9" x14ac:dyDescent="0.25">
      <c r="B33" s="14" t="s">
        <v>25</v>
      </c>
      <c r="C33" s="28">
        <v>3272259838513</v>
      </c>
      <c r="D33" s="28">
        <v>572704303222</v>
      </c>
      <c r="E33" s="28">
        <v>231505613043</v>
      </c>
      <c r="F33" s="28">
        <v>307977957113</v>
      </c>
      <c r="G33" s="28">
        <f>SUM(C33:F33)</f>
        <v>4384447711891</v>
      </c>
    </row>
    <row r="34" spans="2:9" x14ac:dyDescent="0.25">
      <c r="B34" s="14" t="s">
        <v>26</v>
      </c>
      <c r="C34" s="28">
        <v>142609563862</v>
      </c>
      <c r="D34" s="28">
        <v>62113532196</v>
      </c>
      <c r="E34" s="28">
        <v>34771056700</v>
      </c>
      <c r="F34" s="28">
        <v>122130768404</v>
      </c>
      <c r="G34" s="28">
        <f>SUM(C34:F34)</f>
        <v>361624921162</v>
      </c>
    </row>
    <row r="35" spans="2:9" x14ac:dyDescent="0.25">
      <c r="B35" s="46" t="s">
        <v>27</v>
      </c>
      <c r="C35" s="47">
        <v>3414869402375</v>
      </c>
      <c r="D35" s="47">
        <f>+D34+D33</f>
        <v>634817835418</v>
      </c>
      <c r="E35" s="47">
        <v>266276669743</v>
      </c>
      <c r="F35" s="47">
        <v>430108725517</v>
      </c>
      <c r="G35" s="47">
        <f>SUM(C35:F35)</f>
        <v>4746072633053</v>
      </c>
    </row>
    <row r="36" spans="2:9" x14ac:dyDescent="0.25">
      <c r="B36" s="85" t="s">
        <v>108</v>
      </c>
      <c r="C36" s="85"/>
      <c r="D36" s="85"/>
      <c r="E36" s="85"/>
      <c r="F36" s="85"/>
      <c r="G36" s="85"/>
      <c r="H36"/>
    </row>
    <row r="37" spans="2:9" x14ac:dyDescent="0.25">
      <c r="B37" s="45"/>
      <c r="C37" s="45"/>
      <c r="D37" s="45"/>
      <c r="E37" s="45"/>
      <c r="F37" s="45"/>
      <c r="G37" s="45"/>
      <c r="H37" s="45"/>
    </row>
    <row r="38" spans="2:9" ht="21" x14ac:dyDescent="0.35">
      <c r="B38" s="78" t="s">
        <v>28</v>
      </c>
      <c r="C38" s="79"/>
      <c r="D38" s="79"/>
      <c r="E38" s="79"/>
      <c r="F38" s="79"/>
      <c r="G38" s="80"/>
    </row>
    <row r="39" spans="2:9" x14ac:dyDescent="0.25">
      <c r="B39" s="74" t="s">
        <v>29</v>
      </c>
      <c r="C39" s="75"/>
      <c r="D39" s="75"/>
      <c r="E39" s="75"/>
      <c r="F39" s="75"/>
      <c r="G39" s="76"/>
    </row>
    <row r="40" spans="2:9" x14ac:dyDescent="0.25">
      <c r="B40" s="14" t="s">
        <v>30</v>
      </c>
      <c r="C40" s="28">
        <v>614408</v>
      </c>
      <c r="D40" s="28">
        <v>113169</v>
      </c>
      <c r="E40" s="28">
        <v>51810</v>
      </c>
      <c r="F40" s="28">
        <v>57902</v>
      </c>
      <c r="G40" s="28">
        <f>SUM(C40:F40)</f>
        <v>837289</v>
      </c>
      <c r="H40" s="7"/>
      <c r="I40" s="7"/>
    </row>
    <row r="41" spans="2:9" x14ac:dyDescent="0.25">
      <c r="B41" s="14" t="s">
        <v>31</v>
      </c>
      <c r="C41" s="28">
        <f>2073100481/1000000</f>
        <v>2073.1004809999999</v>
      </c>
      <c r="D41" s="28">
        <v>736.09027800000001</v>
      </c>
      <c r="E41" s="28">
        <v>371</v>
      </c>
      <c r="F41" s="28">
        <v>370.59957000000003</v>
      </c>
      <c r="G41" s="11">
        <f>SUM(C41:F41)</f>
        <v>3550.7903289999999</v>
      </c>
      <c r="H41" s="7"/>
      <c r="I41" s="7"/>
    </row>
    <row r="42" spans="2:9" x14ac:dyDescent="0.25">
      <c r="B42" s="69"/>
      <c r="C42" s="69"/>
      <c r="D42" s="69"/>
      <c r="E42" s="69"/>
      <c r="F42" s="69"/>
      <c r="G42" s="69"/>
      <c r="H42" s="69"/>
      <c r="I42" s="7"/>
    </row>
    <row r="43" spans="2:9" x14ac:dyDescent="0.25">
      <c r="B43" s="68" t="s">
        <v>109</v>
      </c>
      <c r="C43" s="68"/>
      <c r="D43" s="68"/>
      <c r="E43" s="68"/>
      <c r="F43" s="68"/>
      <c r="G43" s="68"/>
      <c r="I43" s="7"/>
    </row>
    <row r="44" spans="2:9" x14ac:dyDescent="0.25">
      <c r="B44" s="14" t="s">
        <v>111</v>
      </c>
      <c r="C44" s="28">
        <v>6</v>
      </c>
      <c r="D44" s="28">
        <v>3</v>
      </c>
      <c r="E44" s="28">
        <v>4</v>
      </c>
      <c r="F44" s="28">
        <v>3</v>
      </c>
      <c r="G44" s="28">
        <f>SUM(C44:F44)</f>
        <v>16</v>
      </c>
      <c r="H44" s="7"/>
      <c r="I44" s="7"/>
    </row>
    <row r="45" spans="2:9" x14ac:dyDescent="0.25">
      <c r="B45" s="14" t="s">
        <v>112</v>
      </c>
      <c r="C45" s="11">
        <f>4760185/1000000</f>
        <v>4.7601849999999999</v>
      </c>
      <c r="D45" s="11">
        <v>4.2576000000000003E-2</v>
      </c>
      <c r="E45" s="11">
        <v>0.1</v>
      </c>
      <c r="F45" s="11">
        <v>0.121561</v>
      </c>
      <c r="G45" s="11">
        <f>SUM(C45:F45)</f>
        <v>5.0243219999999997</v>
      </c>
      <c r="H45" s="7"/>
      <c r="I45" s="7"/>
    </row>
    <row r="46" spans="2:9" x14ac:dyDescent="0.25">
      <c r="B46" s="69"/>
      <c r="C46" s="69"/>
      <c r="D46" s="69"/>
      <c r="E46" s="69"/>
      <c r="F46" s="69"/>
      <c r="G46" s="69"/>
      <c r="H46" s="69"/>
      <c r="I46" s="7"/>
    </row>
    <row r="47" spans="2:9" x14ac:dyDescent="0.25">
      <c r="B47" s="68" t="s">
        <v>110</v>
      </c>
      <c r="C47" s="68"/>
      <c r="D47" s="68"/>
      <c r="E47" s="68"/>
      <c r="F47" s="68"/>
      <c r="G47" s="68"/>
      <c r="I47" s="7"/>
    </row>
    <row r="48" spans="2:9" x14ac:dyDescent="0.25">
      <c r="B48" s="14" t="s">
        <v>113</v>
      </c>
      <c r="C48" s="28">
        <v>171601</v>
      </c>
      <c r="D48" s="28">
        <v>91220</v>
      </c>
      <c r="E48" s="28">
        <v>17609</v>
      </c>
      <c r="F48" s="28">
        <v>71585</v>
      </c>
      <c r="G48" s="28">
        <f>SUM(C48:F48)</f>
        <v>352015</v>
      </c>
      <c r="H48" s="7"/>
      <c r="I48" s="7"/>
    </row>
    <row r="49" spans="2:9" x14ac:dyDescent="0.25">
      <c r="B49" s="14" t="s">
        <v>114</v>
      </c>
      <c r="C49" s="28">
        <f>( 78930887218+ 1422449079)/1000000</f>
        <v>80353.336297000002</v>
      </c>
      <c r="D49" s="28">
        <v>30181.685276</v>
      </c>
      <c r="E49" s="28">
        <v>10013.335461000001</v>
      </c>
      <c r="F49" s="28">
        <v>11146.039712</v>
      </c>
      <c r="G49" s="11">
        <f>SUM(C49:F49)</f>
        <v>131694.39674600001</v>
      </c>
      <c r="H49" s="7"/>
      <c r="I49" s="7"/>
    </row>
    <row r="50" spans="2:9" x14ac:dyDescent="0.25">
      <c r="B50" s="69"/>
      <c r="C50" s="69"/>
      <c r="D50" s="69"/>
      <c r="E50" s="69"/>
      <c r="F50" s="69"/>
      <c r="G50" s="69"/>
      <c r="H50" s="69"/>
    </row>
    <row r="51" spans="2:9" ht="21" x14ac:dyDescent="0.35">
      <c r="B51" s="78" t="s">
        <v>38</v>
      </c>
      <c r="C51" s="79"/>
      <c r="D51" s="79"/>
      <c r="E51" s="79"/>
      <c r="F51" s="79"/>
      <c r="G51" s="80"/>
    </row>
    <row r="52" spans="2:9" x14ac:dyDescent="0.25">
      <c r="B52" s="86"/>
      <c r="C52" s="86"/>
      <c r="D52" s="86"/>
      <c r="E52" s="86"/>
      <c r="F52" s="86"/>
      <c r="G52" s="86"/>
      <c r="H52" s="86"/>
    </row>
    <row r="53" spans="2:9" x14ac:dyDescent="0.25">
      <c r="B53" s="68" t="s">
        <v>39</v>
      </c>
      <c r="C53" s="68"/>
      <c r="D53" s="68"/>
      <c r="E53" s="68"/>
      <c r="F53" s="68"/>
      <c r="G53" s="68"/>
    </row>
    <row r="54" spans="2:9" x14ac:dyDescent="0.25">
      <c r="B54" s="73" t="s">
        <v>40</v>
      </c>
      <c r="C54" s="73"/>
      <c r="D54" s="73"/>
      <c r="E54" s="73"/>
      <c r="F54" s="73"/>
      <c r="G54" s="73"/>
    </row>
    <row r="55" spans="2:9" x14ac:dyDescent="0.25">
      <c r="B55" s="14" t="s">
        <v>41</v>
      </c>
      <c r="C55" s="28">
        <v>74360</v>
      </c>
      <c r="D55" s="28">
        <v>4524</v>
      </c>
      <c r="E55" s="28">
        <v>1420</v>
      </c>
      <c r="F55" s="28">
        <v>3680</v>
      </c>
      <c r="G55" s="28">
        <f t="shared" ref="G55:G71" si="0">SUM(C55:F55)</f>
        <v>83984</v>
      </c>
    </row>
    <row r="56" spans="2:9" x14ac:dyDescent="0.25">
      <c r="B56" s="14" t="s">
        <v>42</v>
      </c>
      <c r="C56" s="28">
        <v>74672.931777000005</v>
      </c>
      <c r="D56" s="28">
        <v>7232.2738769999996</v>
      </c>
      <c r="E56" s="28">
        <v>2258.4414630000001</v>
      </c>
      <c r="F56" s="28">
        <v>8699</v>
      </c>
      <c r="G56" s="28">
        <f t="shared" si="0"/>
        <v>92862.647117</v>
      </c>
    </row>
    <row r="57" spans="2:9" x14ac:dyDescent="0.25">
      <c r="B57" s="14" t="s">
        <v>43</v>
      </c>
      <c r="C57" s="28">
        <v>17.613138784292602</v>
      </c>
      <c r="D57" s="28">
        <v>40.637982398062015</v>
      </c>
      <c r="E57" s="28">
        <v>26</v>
      </c>
      <c r="F57" s="28">
        <v>32</v>
      </c>
      <c r="G57" s="28">
        <f>AVERAGE(C57:F57)</f>
        <v>29.062780295588652</v>
      </c>
    </row>
    <row r="58" spans="2:9" x14ac:dyDescent="0.25">
      <c r="B58" s="14" t="s">
        <v>44</v>
      </c>
      <c r="C58" s="28">
        <v>789294</v>
      </c>
      <c r="D58" s="28">
        <v>148943</v>
      </c>
      <c r="E58" s="28">
        <v>49162</v>
      </c>
      <c r="F58" s="28">
        <v>64402</v>
      </c>
      <c r="G58" s="28">
        <f t="shared" si="0"/>
        <v>1051801</v>
      </c>
    </row>
    <row r="59" spans="2:9" x14ac:dyDescent="0.25">
      <c r="B59" s="14" t="s">
        <v>115</v>
      </c>
      <c r="C59" s="28">
        <v>1632261.0259149999</v>
      </c>
      <c r="D59" s="28">
        <v>297229.59846900002</v>
      </c>
      <c r="E59" s="28">
        <v>104455.42305100001</v>
      </c>
      <c r="F59" s="28">
        <v>129611</v>
      </c>
      <c r="G59" s="11">
        <f t="shared" si="0"/>
        <v>2163557.0474350001</v>
      </c>
    </row>
    <row r="60" spans="2:9" x14ac:dyDescent="0.25">
      <c r="B60" s="73" t="s">
        <v>45</v>
      </c>
      <c r="C60" s="73"/>
      <c r="D60" s="73"/>
      <c r="E60" s="73"/>
      <c r="F60" s="73"/>
      <c r="G60" s="73"/>
    </row>
    <row r="61" spans="2:9" x14ac:dyDescent="0.25">
      <c r="B61" s="14" t="s">
        <v>41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42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43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44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115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3" t="s">
        <v>46</v>
      </c>
      <c r="C66" s="73"/>
      <c r="D66" s="73"/>
      <c r="E66" s="73"/>
      <c r="F66" s="73"/>
      <c r="G66" s="73"/>
    </row>
    <row r="67" spans="2:8" x14ac:dyDescent="0.25">
      <c r="B67" s="14" t="s">
        <v>41</v>
      </c>
      <c r="C67" s="28">
        <v>5277</v>
      </c>
      <c r="D67" s="28">
        <v>2020</v>
      </c>
      <c r="E67" s="28">
        <v>1076</v>
      </c>
      <c r="F67" s="28">
        <v>9933</v>
      </c>
      <c r="G67" s="28">
        <f t="shared" si="0"/>
        <v>18306</v>
      </c>
    </row>
    <row r="68" spans="2:8" x14ac:dyDescent="0.25">
      <c r="B68" s="14" t="s">
        <v>42</v>
      </c>
      <c r="C68" s="28">
        <v>4520.2733500000004</v>
      </c>
      <c r="D68" s="28">
        <v>1993.4729070000001</v>
      </c>
      <c r="E68" s="28">
        <v>1161.696911</v>
      </c>
      <c r="F68" s="28">
        <v>11667</v>
      </c>
      <c r="G68" s="28">
        <f t="shared" si="0"/>
        <v>19342.443168000002</v>
      </c>
    </row>
    <row r="69" spans="2:8" x14ac:dyDescent="0.25">
      <c r="B69" s="14" t="s">
        <v>43</v>
      </c>
      <c r="C69" s="28">
        <v>39.747773356073502</v>
      </c>
      <c r="D69" s="28">
        <v>55.905586220510521</v>
      </c>
      <c r="E69" s="28">
        <v>52</v>
      </c>
      <c r="F69" s="28">
        <v>42</v>
      </c>
      <c r="G69" s="28">
        <f>AVERAGE(C69:F69)</f>
        <v>47.413339894146006</v>
      </c>
    </row>
    <row r="70" spans="2:8" x14ac:dyDescent="0.25">
      <c r="B70" s="14" t="s">
        <v>44</v>
      </c>
      <c r="C70" s="28">
        <v>104241</v>
      </c>
      <c r="D70" s="28">
        <v>83562</v>
      </c>
      <c r="E70" s="28">
        <v>53225</v>
      </c>
      <c r="F70" s="28">
        <v>231074</v>
      </c>
      <c r="G70" s="28">
        <f t="shared" si="0"/>
        <v>472102</v>
      </c>
    </row>
    <row r="71" spans="2:8" x14ac:dyDescent="0.25">
      <c r="B71" s="14" t="s">
        <v>115</v>
      </c>
      <c r="C71" s="28">
        <v>96237.123366</v>
      </c>
      <c r="D71" s="28">
        <v>83409.533412999997</v>
      </c>
      <c r="E71" s="28">
        <v>51950.908965000002</v>
      </c>
      <c r="F71" s="28">
        <v>189032</v>
      </c>
      <c r="G71" s="11">
        <f t="shared" si="0"/>
        <v>420629.56574400002</v>
      </c>
    </row>
    <row r="72" spans="2:8" x14ac:dyDescent="0.25">
      <c r="B72" s="82" t="s">
        <v>47</v>
      </c>
      <c r="C72" s="83"/>
      <c r="D72" s="83"/>
      <c r="E72" s="83"/>
      <c r="F72" s="83"/>
      <c r="G72" s="84"/>
    </row>
    <row r="73" spans="2:8" x14ac:dyDescent="0.25">
      <c r="B73" s="18" t="s">
        <v>116</v>
      </c>
      <c r="C73" s="19">
        <f>+C55+C67</f>
        <v>79637</v>
      </c>
      <c r="D73" s="19">
        <f>+D67+D61+D55</f>
        <v>6544</v>
      </c>
      <c r="E73" s="19">
        <f t="shared" ref="E73:E74" si="1">+E67+E61+E55</f>
        <v>2496</v>
      </c>
      <c r="F73" s="19">
        <f>+F55+F67</f>
        <v>13613</v>
      </c>
      <c r="G73" s="19">
        <f>SUM(C73:F73)</f>
        <v>102290</v>
      </c>
    </row>
    <row r="74" spans="2:8" x14ac:dyDescent="0.25">
      <c r="B74" s="18" t="s">
        <v>42</v>
      </c>
      <c r="C74" s="19">
        <f>+C56+C68</f>
        <v>79193.205127000008</v>
      </c>
      <c r="D74" s="19">
        <f t="shared" ref="D74:E77" si="2">+D68+D62+D56</f>
        <v>9225.746783999999</v>
      </c>
      <c r="E74" s="19">
        <f t="shared" si="1"/>
        <v>3420.1383740000001</v>
      </c>
      <c r="F74" s="19">
        <f>+F56+F68</f>
        <v>20366</v>
      </c>
      <c r="G74" s="22">
        <f>SUM(C74:F74)</f>
        <v>112205.09028500001</v>
      </c>
    </row>
    <row r="75" spans="2:8" x14ac:dyDescent="0.25">
      <c r="B75" s="18" t="s">
        <v>43</v>
      </c>
      <c r="C75" s="19">
        <v>19.0798498185517</v>
      </c>
      <c r="D75" s="19">
        <f>(+D57+D63+D69)/3</f>
        <v>32.181189539524176</v>
      </c>
      <c r="E75" s="19">
        <v>0</v>
      </c>
      <c r="F75" s="19">
        <f>(F57+F69)/2</f>
        <v>37</v>
      </c>
      <c r="G75" s="19">
        <f>AVERAGE(C75:F75)</f>
        <v>22.065259839518969</v>
      </c>
    </row>
    <row r="76" spans="2:8" x14ac:dyDescent="0.25">
      <c r="B76" s="18" t="s">
        <v>44</v>
      </c>
      <c r="C76" s="19">
        <f>+C58+C70</f>
        <v>893535</v>
      </c>
      <c r="D76" s="19">
        <f t="shared" si="2"/>
        <v>232505</v>
      </c>
      <c r="E76" s="19">
        <f t="shared" si="2"/>
        <v>102387</v>
      </c>
      <c r="F76" s="19">
        <f>+F58+F70</f>
        <v>295476</v>
      </c>
      <c r="G76" s="19">
        <f>SUM(C76:F76)</f>
        <v>1523903</v>
      </c>
    </row>
    <row r="77" spans="2:8" x14ac:dyDescent="0.25">
      <c r="B77" s="18" t="s">
        <v>115</v>
      </c>
      <c r="C77" s="19">
        <f>+C59+C71</f>
        <v>1728498.1492809998</v>
      </c>
      <c r="D77" s="19">
        <f>+D71+D65+D59</f>
        <v>380639.13188200002</v>
      </c>
      <c r="E77" s="19">
        <f t="shared" si="2"/>
        <v>156406.332016</v>
      </c>
      <c r="F77" s="19">
        <f>+F59+F71</f>
        <v>318643</v>
      </c>
      <c r="G77" s="22">
        <f>SUM(C77:F77)</f>
        <v>2584186.6131789996</v>
      </c>
    </row>
    <row r="78" spans="2:8" x14ac:dyDescent="0.25">
      <c r="B78" s="69"/>
      <c r="C78" s="69"/>
      <c r="D78" s="69"/>
      <c r="E78" s="69"/>
      <c r="F78" s="69"/>
      <c r="G78" s="69"/>
      <c r="H78" s="69"/>
    </row>
    <row r="79" spans="2:8" x14ac:dyDescent="0.25">
      <c r="B79" s="74" t="s">
        <v>48</v>
      </c>
      <c r="C79" s="75"/>
      <c r="D79" s="75"/>
      <c r="E79" s="75"/>
      <c r="F79" s="75"/>
      <c r="G79" s="76"/>
    </row>
    <row r="80" spans="2:8" x14ac:dyDescent="0.25">
      <c r="B80" s="70" t="s">
        <v>40</v>
      </c>
      <c r="C80" s="71"/>
      <c r="D80" s="71"/>
      <c r="E80" s="71"/>
      <c r="F80" s="71"/>
      <c r="G80" s="72"/>
    </row>
    <row r="81" spans="2:7" x14ac:dyDescent="0.25">
      <c r="B81" s="14" t="s">
        <v>41</v>
      </c>
      <c r="C81" s="28">
        <v>0</v>
      </c>
      <c r="D81" s="28">
        <v>0</v>
      </c>
      <c r="E81" s="28">
        <v>0</v>
      </c>
      <c r="F81" s="28">
        <v>0</v>
      </c>
      <c r="G81" s="20">
        <f>SUM(C81:F81)</f>
        <v>0</v>
      </c>
    </row>
    <row r="82" spans="2:7" x14ac:dyDescent="0.25">
      <c r="B82" s="14" t="s">
        <v>42</v>
      </c>
      <c r="C82" s="28">
        <v>0</v>
      </c>
      <c r="D82" s="28">
        <v>0</v>
      </c>
      <c r="E82" s="28">
        <v>0</v>
      </c>
      <c r="F82" s="28">
        <v>0</v>
      </c>
      <c r="G82" s="24">
        <f>SUM(C82:F82)</f>
        <v>0</v>
      </c>
    </row>
    <row r="83" spans="2:7" x14ac:dyDescent="0.25">
      <c r="B83" s="14" t="s">
        <v>43</v>
      </c>
      <c r="C83" s="28">
        <v>0</v>
      </c>
      <c r="D83" s="28">
        <v>0</v>
      </c>
      <c r="E83" s="28">
        <v>0</v>
      </c>
      <c r="F83" s="28">
        <v>0</v>
      </c>
      <c r="G83" s="24">
        <f>AVERAGE(C83:F83)</f>
        <v>0</v>
      </c>
    </row>
    <row r="84" spans="2:7" x14ac:dyDescent="0.25">
      <c r="B84" s="14" t="s">
        <v>44</v>
      </c>
      <c r="C84" s="24">
        <v>1038</v>
      </c>
      <c r="D84" s="24">
        <v>124</v>
      </c>
      <c r="E84" s="24">
        <v>6</v>
      </c>
      <c r="F84" s="24">
        <v>102</v>
      </c>
      <c r="G84" s="24">
        <f>SUM(C84:F84)</f>
        <v>1270</v>
      </c>
    </row>
    <row r="85" spans="2:7" x14ac:dyDescent="0.25">
      <c r="B85" s="14" t="s">
        <v>115</v>
      </c>
      <c r="C85" s="24">
        <v>21650.708569999999</v>
      </c>
      <c r="D85" s="24">
        <v>1515</v>
      </c>
      <c r="E85" s="24">
        <v>78</v>
      </c>
      <c r="F85" s="28">
        <v>1912.2981930000001</v>
      </c>
      <c r="G85" s="11">
        <f>SUM(C85:F85)</f>
        <v>25156.006762999998</v>
      </c>
    </row>
    <row r="86" spans="2:7" x14ac:dyDescent="0.25">
      <c r="B86" s="70" t="s">
        <v>45</v>
      </c>
      <c r="C86" s="71"/>
      <c r="D86" s="71"/>
      <c r="E86" s="71"/>
      <c r="F86" s="71"/>
      <c r="G86" s="72"/>
    </row>
    <row r="87" spans="2:7" x14ac:dyDescent="0.25">
      <c r="B87" s="14" t="s">
        <v>41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42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43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44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115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0" t="s">
        <v>46</v>
      </c>
      <c r="C92" s="71"/>
      <c r="D92" s="71"/>
      <c r="E92" s="71"/>
      <c r="F92" s="71"/>
      <c r="G92" s="72"/>
    </row>
    <row r="93" spans="2:7" x14ac:dyDescent="0.25">
      <c r="B93" s="14" t="s">
        <v>41</v>
      </c>
      <c r="C93" s="28">
        <v>0</v>
      </c>
      <c r="D93" s="28">
        <v>0</v>
      </c>
      <c r="E93" s="28">
        <v>0</v>
      </c>
      <c r="F93" s="28">
        <v>0</v>
      </c>
      <c r="G93" s="28">
        <f>SUM(C93:F93)</f>
        <v>0</v>
      </c>
    </row>
    <row r="94" spans="2:7" x14ac:dyDescent="0.25">
      <c r="B94" s="14" t="s">
        <v>42</v>
      </c>
      <c r="C94" s="28">
        <v>0</v>
      </c>
      <c r="D94" s="28">
        <v>0</v>
      </c>
      <c r="E94" s="28">
        <v>0</v>
      </c>
      <c r="F94" s="28">
        <v>0</v>
      </c>
      <c r="G94" s="28">
        <f>SUM(C94:F94)</f>
        <v>0</v>
      </c>
    </row>
    <row r="95" spans="2:7" x14ac:dyDescent="0.25">
      <c r="B95" s="14" t="s">
        <v>43</v>
      </c>
      <c r="C95" s="28">
        <v>0</v>
      </c>
      <c r="D95" s="28">
        <v>0</v>
      </c>
      <c r="E95" s="28">
        <v>0</v>
      </c>
      <c r="F95" s="28">
        <v>0</v>
      </c>
      <c r="G95" s="28">
        <f>AVERAGE(C95:F95)</f>
        <v>0</v>
      </c>
    </row>
    <row r="96" spans="2:7" x14ac:dyDescent="0.25">
      <c r="B96" s="14" t="s">
        <v>44</v>
      </c>
      <c r="C96" s="24">
        <v>12</v>
      </c>
      <c r="D96" s="24">
        <v>0</v>
      </c>
      <c r="E96" s="24">
        <v>0</v>
      </c>
      <c r="F96" s="24">
        <v>7</v>
      </c>
      <c r="G96" s="28">
        <f>SUM(C96:F96)</f>
        <v>19</v>
      </c>
    </row>
    <row r="97" spans="2:8" x14ac:dyDescent="0.25">
      <c r="B97" s="14" t="s">
        <v>115</v>
      </c>
      <c r="C97" s="24">
        <v>187.503399</v>
      </c>
      <c r="D97" s="24">
        <v>0</v>
      </c>
      <c r="E97" s="24">
        <v>0</v>
      </c>
      <c r="F97" s="24">
        <v>90.602108000000001</v>
      </c>
      <c r="G97" s="11">
        <f>SUM(C97:F97)</f>
        <v>278.10550699999999</v>
      </c>
    </row>
    <row r="98" spans="2:8" x14ac:dyDescent="0.25">
      <c r="B98" s="82" t="s">
        <v>49</v>
      </c>
      <c r="C98" s="83"/>
      <c r="D98" s="83"/>
      <c r="E98" s="83"/>
      <c r="F98" s="83"/>
      <c r="G98" s="84"/>
    </row>
    <row r="99" spans="2:8" x14ac:dyDescent="0.25">
      <c r="B99" s="18" t="s">
        <v>41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42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43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44</v>
      </c>
      <c r="C102" s="19">
        <f>+C96+C84</f>
        <v>1050</v>
      </c>
      <c r="D102" s="19">
        <f t="shared" ref="D102:D103" si="3">+D96+D90+D84</f>
        <v>124</v>
      </c>
      <c r="E102" s="19">
        <f>+E84</f>
        <v>6</v>
      </c>
      <c r="F102" s="19">
        <f>+F96+F84</f>
        <v>109</v>
      </c>
      <c r="G102" s="19">
        <f>SUM(C102:F102)</f>
        <v>1289</v>
      </c>
    </row>
    <row r="103" spans="2:8" x14ac:dyDescent="0.25">
      <c r="B103" s="18" t="s">
        <v>115</v>
      </c>
      <c r="C103" s="19">
        <f>+C97+C85</f>
        <v>21838.211969</v>
      </c>
      <c r="D103" s="19">
        <f t="shared" si="3"/>
        <v>1515</v>
      </c>
      <c r="E103" s="19">
        <f>+E85</f>
        <v>78</v>
      </c>
      <c r="F103" s="19">
        <f>+F85+F97</f>
        <v>2002.9003010000001</v>
      </c>
      <c r="G103" s="22">
        <f>SUM(C103:F103)</f>
        <v>25434.112270000001</v>
      </c>
    </row>
    <row r="104" spans="2:8" x14ac:dyDescent="0.25">
      <c r="B104" s="69"/>
      <c r="C104" s="69"/>
      <c r="D104" s="69"/>
      <c r="E104" s="69"/>
      <c r="F104" s="69"/>
      <c r="G104" s="69"/>
      <c r="H104" s="69"/>
    </row>
    <row r="105" spans="2:8" x14ac:dyDescent="0.25">
      <c r="B105" s="68" t="s">
        <v>50</v>
      </c>
      <c r="C105" s="68"/>
      <c r="D105" s="68"/>
      <c r="E105" s="68"/>
      <c r="F105" s="68"/>
      <c r="G105" s="68"/>
    </row>
    <row r="106" spans="2:8" x14ac:dyDescent="0.25">
      <c r="B106" s="73" t="s">
        <v>51</v>
      </c>
      <c r="C106" s="73"/>
      <c r="D106" s="73"/>
      <c r="E106" s="73"/>
      <c r="F106" s="73"/>
      <c r="G106" s="73"/>
    </row>
    <row r="107" spans="2:8" x14ac:dyDescent="0.25">
      <c r="B107" s="14" t="s">
        <v>52</v>
      </c>
      <c r="C107" s="11">
        <v>2.3450420056735548</v>
      </c>
      <c r="D107" s="13">
        <v>2.4197355035605574</v>
      </c>
      <c r="E107" s="31">
        <v>2.44</v>
      </c>
      <c r="F107" s="32">
        <v>2.4900000000000002</v>
      </c>
      <c r="G107" s="13">
        <f>AVERAGE(C107:F107)</f>
        <v>2.4236943773085282</v>
      </c>
    </row>
    <row r="108" spans="2:8" x14ac:dyDescent="0.25">
      <c r="B108" s="14" t="s">
        <v>53</v>
      </c>
      <c r="C108" s="11">
        <v>1.8101865565363144</v>
      </c>
      <c r="D108" s="13">
        <v>2.4295168067227073</v>
      </c>
      <c r="E108" s="32">
        <v>2.44</v>
      </c>
      <c r="F108" s="32">
        <v>2.4900000000000002</v>
      </c>
      <c r="G108" s="13">
        <f>AVERAGE(C108:F108)</f>
        <v>2.2924258408147553</v>
      </c>
    </row>
    <row r="109" spans="2:8" x14ac:dyDescent="0.25">
      <c r="B109" s="14" t="s">
        <v>54</v>
      </c>
      <c r="C109" s="38">
        <v>1.73076669114578</v>
      </c>
      <c r="D109" s="13">
        <v>2.553197353914018</v>
      </c>
      <c r="E109" s="31">
        <v>2.61</v>
      </c>
      <c r="F109" s="13">
        <v>2.553197353914018</v>
      </c>
      <c r="G109" s="13">
        <f>AVERAGE(C109:F109)</f>
        <v>2.3617903497434538</v>
      </c>
    </row>
    <row r="110" spans="2:8" x14ac:dyDescent="0.25">
      <c r="B110" s="73" t="s">
        <v>55</v>
      </c>
      <c r="C110" s="73"/>
      <c r="D110" s="73"/>
      <c r="E110" s="73"/>
      <c r="F110" s="73"/>
      <c r="G110" s="73"/>
    </row>
    <row r="111" spans="2:8" x14ac:dyDescent="0.25">
      <c r="B111" s="14" t="s">
        <v>52</v>
      </c>
      <c r="C111" s="11">
        <v>1.3114285714285716</v>
      </c>
      <c r="D111" s="13">
        <v>2.16</v>
      </c>
      <c r="E111" s="31">
        <v>1.1000000000000001</v>
      </c>
      <c r="F111" s="13">
        <v>1.25</v>
      </c>
      <c r="G111" s="13">
        <f>AVERAGE(C111:F111)</f>
        <v>1.4553571428571428</v>
      </c>
    </row>
    <row r="112" spans="2:8" x14ac:dyDescent="0.25">
      <c r="B112" s="14" t="s">
        <v>53</v>
      </c>
      <c r="C112" s="11">
        <v>1.3156756756756705</v>
      </c>
      <c r="D112" s="13">
        <v>2.1599999999999984</v>
      </c>
      <c r="E112" s="31">
        <v>2.14</v>
      </c>
      <c r="F112" s="13">
        <v>1.99</v>
      </c>
      <c r="G112" s="13">
        <f>AVERAGE(C112:F112)</f>
        <v>1.9014189189189175</v>
      </c>
    </row>
    <row r="113" spans="2:9" x14ac:dyDescent="0.25">
      <c r="B113" s="14" t="s">
        <v>54</v>
      </c>
      <c r="C113" s="13">
        <v>1.3756382145653823</v>
      </c>
      <c r="D113" s="13">
        <v>2.1600000000000072</v>
      </c>
      <c r="E113" s="31">
        <v>2.15</v>
      </c>
      <c r="F113" s="31">
        <v>2.15</v>
      </c>
      <c r="G113" s="13">
        <f>AVERAGE(C113:F113)</f>
        <v>1.9589095536413472</v>
      </c>
    </row>
    <row r="114" spans="2:9" x14ac:dyDescent="0.25">
      <c r="B114" s="69"/>
      <c r="C114" s="69"/>
      <c r="D114" s="69"/>
      <c r="E114" s="69"/>
      <c r="F114" s="69"/>
      <c r="G114" s="69"/>
      <c r="H114" s="69"/>
      <c r="I114" s="69"/>
    </row>
    <row r="115" spans="2:9" x14ac:dyDescent="0.25">
      <c r="B115" s="73" t="s">
        <v>56</v>
      </c>
      <c r="C115" s="73"/>
      <c r="D115" s="73"/>
      <c r="E115" s="73"/>
      <c r="F115" s="73"/>
      <c r="G115" s="73"/>
    </row>
    <row r="116" spans="2:9" x14ac:dyDescent="0.25">
      <c r="B116" s="14" t="s">
        <v>52</v>
      </c>
      <c r="C116" s="13">
        <v>1.2863607342378338</v>
      </c>
      <c r="D116" s="13">
        <v>1.7900000000000003</v>
      </c>
      <c r="E116" s="32">
        <v>1.78</v>
      </c>
      <c r="F116" s="13">
        <v>1.77</v>
      </c>
      <c r="G116" s="13">
        <f>AVERAGE(C116:F116)</f>
        <v>1.6565901835594588</v>
      </c>
    </row>
    <row r="117" spans="2:9" x14ac:dyDescent="0.25">
      <c r="B117" s="14" t="s">
        <v>53</v>
      </c>
      <c r="C117" s="13">
        <v>1.5212818471337379</v>
      </c>
      <c r="D117" s="13">
        <v>1.7900000000000067</v>
      </c>
      <c r="E117" s="32">
        <v>1.78</v>
      </c>
      <c r="F117" s="13">
        <v>1.77</v>
      </c>
      <c r="G117" s="13">
        <f>AVERAGE(C117:F117)</f>
        <v>1.7153204617834361</v>
      </c>
    </row>
    <row r="118" spans="2:9" x14ac:dyDescent="0.25">
      <c r="B118" s="14" t="s">
        <v>54</v>
      </c>
      <c r="C118" s="13">
        <v>1.584162309140333</v>
      </c>
      <c r="D118" s="13">
        <v>1.78819191919189</v>
      </c>
      <c r="E118" s="32">
        <v>1.78</v>
      </c>
      <c r="F118" s="13">
        <v>1.7900000000000003</v>
      </c>
      <c r="G118" s="13">
        <f>AVERAGE(C118:F118)</f>
        <v>1.7355885570830558</v>
      </c>
    </row>
    <row r="119" spans="2:9" x14ac:dyDescent="0.25">
      <c r="B119" s="70" t="s">
        <v>57</v>
      </c>
      <c r="C119" s="71"/>
      <c r="D119" s="71"/>
      <c r="E119" s="71"/>
      <c r="F119" s="71"/>
      <c r="G119" s="72"/>
    </row>
    <row r="120" spans="2:9" x14ac:dyDescent="0.25">
      <c r="B120" s="14" t="s">
        <v>52</v>
      </c>
      <c r="C120" s="13">
        <v>0</v>
      </c>
      <c r="D120" s="13">
        <v>1.43</v>
      </c>
      <c r="E120" s="31">
        <v>0</v>
      </c>
      <c r="F120" s="13">
        <v>0.39</v>
      </c>
      <c r="G120" s="13">
        <f>AVERAGE(C120:F120)</f>
        <v>0.45499999999999996</v>
      </c>
    </row>
    <row r="121" spans="2:9" x14ac:dyDescent="0.25">
      <c r="B121" s="14" t="s">
        <v>53</v>
      </c>
      <c r="C121" s="13">
        <v>1.2800000000000005</v>
      </c>
      <c r="D121" s="13">
        <v>1.43</v>
      </c>
      <c r="E121" s="31">
        <v>0</v>
      </c>
      <c r="F121" s="31">
        <v>1.36</v>
      </c>
      <c r="G121" s="13">
        <f>AVERAGE(C121:F121)</f>
        <v>1.0175000000000001</v>
      </c>
    </row>
    <row r="122" spans="2:9" x14ac:dyDescent="0.25">
      <c r="B122" s="14" t="s">
        <v>54</v>
      </c>
      <c r="C122" s="13">
        <v>1.2800000000000002</v>
      </c>
      <c r="D122" s="13">
        <v>1.43</v>
      </c>
      <c r="E122" s="31">
        <v>1.36</v>
      </c>
      <c r="F122" s="31">
        <v>1.36</v>
      </c>
      <c r="G122" s="13">
        <f>AVERAGE(C122:F122)</f>
        <v>1.3575000000000002</v>
      </c>
    </row>
    <row r="123" spans="2:9" x14ac:dyDescent="0.25">
      <c r="B123" s="69"/>
      <c r="C123" s="69"/>
      <c r="D123" s="69"/>
      <c r="E123" s="69"/>
      <c r="F123" s="69"/>
      <c r="G123" s="69"/>
      <c r="H123" s="69"/>
    </row>
    <row r="124" spans="2:9" x14ac:dyDescent="0.25">
      <c r="B124" s="74" t="s">
        <v>58</v>
      </c>
      <c r="C124" s="75"/>
      <c r="D124" s="75"/>
      <c r="E124" s="75"/>
      <c r="F124" s="75"/>
      <c r="G124" s="76"/>
    </row>
    <row r="125" spans="2:9" x14ac:dyDescent="0.25">
      <c r="B125" s="2" t="s">
        <v>59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4" t="s">
        <v>60</v>
      </c>
      <c r="C126" s="75"/>
      <c r="D126" s="75"/>
      <c r="E126" s="75"/>
      <c r="F126" s="75"/>
      <c r="G126" s="76"/>
    </row>
    <row r="127" spans="2:9" x14ac:dyDescent="0.25">
      <c r="B127" s="3" t="s">
        <v>61</v>
      </c>
      <c r="C127" s="13">
        <v>1.49</v>
      </c>
      <c r="D127" s="42">
        <v>1.9859291306210101</v>
      </c>
      <c r="E127" s="34">
        <v>1.937333</v>
      </c>
      <c r="F127" s="4">
        <v>0</v>
      </c>
      <c r="G127" s="11">
        <f>AVERAGE(C127:E127)</f>
        <v>1.8044207102070031</v>
      </c>
    </row>
    <row r="128" spans="2:9" x14ac:dyDescent="0.25">
      <c r="B128" s="81"/>
      <c r="C128" s="81"/>
      <c r="D128" s="81"/>
      <c r="E128" s="81"/>
      <c r="F128" s="81"/>
      <c r="G128" s="81"/>
      <c r="H128" s="81"/>
    </row>
    <row r="129" spans="2:9" x14ac:dyDescent="0.25">
      <c r="B129" s="68" t="s">
        <v>62</v>
      </c>
      <c r="C129" s="68"/>
      <c r="D129" s="68"/>
      <c r="E129" s="68"/>
      <c r="F129" s="68"/>
      <c r="G129" s="68"/>
    </row>
    <row r="130" spans="2:9" x14ac:dyDescent="0.25">
      <c r="B130" s="14" t="s">
        <v>63</v>
      </c>
      <c r="C130" s="28">
        <v>271260</v>
      </c>
      <c r="D130" s="28">
        <v>4127</v>
      </c>
      <c r="E130" s="28">
        <v>8599</v>
      </c>
      <c r="F130" s="28">
        <v>832</v>
      </c>
      <c r="G130" s="28">
        <f>SUM(C130:F130)</f>
        <v>284818</v>
      </c>
    </row>
    <row r="131" spans="2:9" x14ac:dyDescent="0.25">
      <c r="B131" s="14" t="s">
        <v>64</v>
      </c>
      <c r="C131" s="28">
        <v>187922.59671000001</v>
      </c>
      <c r="D131" s="28">
        <v>4083.275275</v>
      </c>
      <c r="E131" s="28">
        <v>1248</v>
      </c>
      <c r="F131" s="28">
        <v>986.33516999999995</v>
      </c>
      <c r="G131" s="11">
        <f>SUM(C131:F131)</f>
        <v>194240.20715500001</v>
      </c>
    </row>
    <row r="132" spans="2:9" x14ac:dyDescent="0.25">
      <c r="B132" s="69"/>
      <c r="C132" s="69"/>
      <c r="D132" s="69"/>
      <c r="E132" s="69"/>
      <c r="F132" s="69"/>
      <c r="G132" s="69"/>
      <c r="H132" s="69"/>
    </row>
    <row r="133" spans="2:9" x14ac:dyDescent="0.25">
      <c r="B133" s="68" t="s">
        <v>65</v>
      </c>
      <c r="C133" s="68"/>
      <c r="D133" s="68"/>
      <c r="E133" s="68"/>
      <c r="F133" s="68"/>
      <c r="G133" s="68"/>
    </row>
    <row r="134" spans="2:9" x14ac:dyDescent="0.25">
      <c r="B134" s="14" t="s">
        <v>66</v>
      </c>
      <c r="C134" s="28">
        <v>495647</v>
      </c>
      <c r="D134" s="28">
        <v>265118</v>
      </c>
      <c r="E134" s="28">
        <f>94235+22135</f>
        <v>116370</v>
      </c>
      <c r="F134" s="28">
        <v>290470</v>
      </c>
      <c r="G134" s="28">
        <f>SUM(C134:F134)</f>
        <v>1167605</v>
      </c>
    </row>
    <row r="135" spans="2:9" x14ac:dyDescent="0.25">
      <c r="B135" s="69"/>
      <c r="C135" s="69"/>
      <c r="D135" s="69"/>
      <c r="E135" s="69"/>
      <c r="F135" s="69"/>
      <c r="G135" s="69"/>
      <c r="H135" s="69"/>
    </row>
    <row r="136" spans="2:9" ht="21" x14ac:dyDescent="0.35">
      <c r="B136" s="77" t="s">
        <v>67</v>
      </c>
      <c r="C136" s="77"/>
      <c r="D136" s="77"/>
      <c r="E136" s="77"/>
      <c r="F136" s="77"/>
      <c r="G136" s="77"/>
    </row>
    <row r="137" spans="2:9" x14ac:dyDescent="0.25">
      <c r="B137" s="68" t="s">
        <v>68</v>
      </c>
      <c r="C137" s="68"/>
      <c r="D137" s="68"/>
      <c r="E137" s="68"/>
      <c r="F137" s="68"/>
      <c r="G137" s="68"/>
    </row>
    <row r="138" spans="2:9" x14ac:dyDescent="0.25">
      <c r="B138" s="14" t="s">
        <v>69</v>
      </c>
      <c r="C138" s="28">
        <v>0</v>
      </c>
      <c r="D138" s="28">
        <v>6849</v>
      </c>
      <c r="E138" s="28"/>
      <c r="F138" s="28">
        <v>15709</v>
      </c>
      <c r="G138" s="28">
        <f>SUM(C138:F138)</f>
        <v>22558</v>
      </c>
      <c r="H138" s="7"/>
      <c r="I138" s="7"/>
    </row>
    <row r="139" spans="2:9" x14ac:dyDescent="0.25">
      <c r="B139" s="14" t="s">
        <v>70</v>
      </c>
      <c r="C139" s="28">
        <v>0</v>
      </c>
      <c r="D139" s="28">
        <v>2</v>
      </c>
      <c r="E139" s="28"/>
      <c r="F139" s="28">
        <v>37</v>
      </c>
      <c r="G139" s="28">
        <f>SUM(C139:F139)</f>
        <v>39</v>
      </c>
      <c r="H139" s="7"/>
      <c r="I139" s="7"/>
    </row>
    <row r="140" spans="2:9" x14ac:dyDescent="0.25">
      <c r="B140" s="69"/>
      <c r="C140" s="69"/>
      <c r="D140" s="69"/>
      <c r="E140" s="69"/>
      <c r="F140" s="69"/>
      <c r="G140" s="69"/>
      <c r="H140" s="69"/>
      <c r="I140" s="7"/>
    </row>
    <row r="141" spans="2:9" x14ac:dyDescent="0.25">
      <c r="B141" s="69"/>
      <c r="C141" s="69"/>
      <c r="D141" s="69"/>
      <c r="E141" s="69"/>
      <c r="F141" s="69"/>
      <c r="G141" s="69"/>
      <c r="H141" s="69"/>
    </row>
    <row r="142" spans="2:9" ht="21" x14ac:dyDescent="0.35">
      <c r="B142" s="78" t="s">
        <v>71</v>
      </c>
      <c r="C142" s="79"/>
      <c r="D142" s="79"/>
      <c r="E142" s="79"/>
      <c r="F142" s="79"/>
      <c r="G142" s="80"/>
    </row>
    <row r="143" spans="2:9" x14ac:dyDescent="0.25">
      <c r="B143" s="74" t="s">
        <v>72</v>
      </c>
      <c r="C143" s="75"/>
      <c r="D143" s="75"/>
      <c r="E143" s="75"/>
      <c r="F143" s="75"/>
      <c r="G143" s="76"/>
    </row>
    <row r="144" spans="2:9" x14ac:dyDescent="0.25">
      <c r="B144" s="69"/>
      <c r="C144" s="69"/>
      <c r="D144" s="69"/>
      <c r="E144" s="69"/>
      <c r="F144" s="69"/>
      <c r="G144" s="69"/>
      <c r="H144" s="69"/>
    </row>
    <row r="145" spans="2:8" x14ac:dyDescent="0.25">
      <c r="B145" s="73" t="s">
        <v>73</v>
      </c>
      <c r="C145" s="73"/>
      <c r="D145" s="73"/>
      <c r="E145" s="73"/>
      <c r="F145" s="73"/>
      <c r="G145" s="73"/>
    </row>
    <row r="146" spans="2:8" x14ac:dyDescent="0.25">
      <c r="B146" s="14" t="s">
        <v>74</v>
      </c>
      <c r="C146" s="28">
        <v>0</v>
      </c>
      <c r="D146" s="28">
        <v>1693</v>
      </c>
      <c r="E146" s="28"/>
      <c r="F146" s="28">
        <v>1112</v>
      </c>
      <c r="G146" s="28">
        <f>SUM(C146:F146)</f>
        <v>2805</v>
      </c>
    </row>
    <row r="147" spans="2:8" x14ac:dyDescent="0.25">
      <c r="B147" s="14" t="s">
        <v>75</v>
      </c>
      <c r="C147" s="28">
        <v>0</v>
      </c>
      <c r="D147" s="28">
        <v>36.942</v>
      </c>
      <c r="E147" s="28"/>
      <c r="F147" s="28">
        <v>13.18375</v>
      </c>
      <c r="G147" s="11">
        <f>SUM(C147:F147)</f>
        <v>50.125749999999996</v>
      </c>
    </row>
    <row r="148" spans="2:8" x14ac:dyDescent="0.25">
      <c r="B148" s="69"/>
      <c r="C148" s="69"/>
      <c r="D148" s="69"/>
      <c r="E148" s="69"/>
      <c r="F148" s="69"/>
      <c r="G148" s="69"/>
      <c r="H148" s="69"/>
    </row>
    <row r="149" spans="2:8" x14ac:dyDescent="0.25">
      <c r="B149" s="73" t="s">
        <v>76</v>
      </c>
      <c r="C149" s="73"/>
      <c r="D149" s="73"/>
      <c r="E149" s="73"/>
      <c r="F149" s="73"/>
      <c r="G149" s="73"/>
    </row>
    <row r="150" spans="2:8" x14ac:dyDescent="0.25">
      <c r="B150" s="14" t="s">
        <v>77</v>
      </c>
      <c r="C150" s="28">
        <v>0</v>
      </c>
      <c r="D150" s="28">
        <v>0</v>
      </c>
      <c r="E150" s="28">
        <v>4232</v>
      </c>
      <c r="F150" s="28">
        <v>0</v>
      </c>
      <c r="G150" s="28">
        <f>SUM(C150:F150)</f>
        <v>4232</v>
      </c>
      <c r="H150"/>
    </row>
    <row r="151" spans="2:8" x14ac:dyDescent="0.25">
      <c r="B151" s="14" t="s">
        <v>78</v>
      </c>
      <c r="C151" s="28">
        <v>0</v>
      </c>
      <c r="D151" s="28">
        <v>0.12</v>
      </c>
      <c r="E151" s="28">
        <f>127128000/1000000</f>
        <v>127.128</v>
      </c>
      <c r="F151" s="28">
        <v>0</v>
      </c>
      <c r="G151" s="11">
        <f>SUM(C151:F151)</f>
        <v>127.248</v>
      </c>
      <c r="H151"/>
    </row>
    <row r="152" spans="2:8" x14ac:dyDescent="0.25">
      <c r="B152" s="69"/>
      <c r="C152" s="69"/>
      <c r="D152" s="69"/>
      <c r="E152" s="69"/>
      <c r="F152" s="69"/>
      <c r="G152" s="69"/>
      <c r="H152" s="69"/>
    </row>
    <row r="153" spans="2:8" x14ac:dyDescent="0.25">
      <c r="B153" s="73" t="s">
        <v>79</v>
      </c>
      <c r="C153" s="73"/>
      <c r="D153" s="73"/>
      <c r="E153" s="73"/>
      <c r="F153" s="73"/>
      <c r="G153" s="73"/>
    </row>
    <row r="154" spans="2:8" x14ac:dyDescent="0.25">
      <c r="B154" s="14" t="s">
        <v>80</v>
      </c>
      <c r="C154" s="28">
        <v>0</v>
      </c>
      <c r="D154" s="28">
        <v>129</v>
      </c>
      <c r="E154" s="28">
        <v>0</v>
      </c>
      <c r="F154" s="28">
        <v>2</v>
      </c>
      <c r="G154" s="28">
        <f>SUM(C154:F154)</f>
        <v>131</v>
      </c>
      <c r="H154"/>
    </row>
    <row r="155" spans="2:8" x14ac:dyDescent="0.25">
      <c r="B155" s="14" t="s">
        <v>81</v>
      </c>
      <c r="C155" s="28">
        <v>0</v>
      </c>
      <c r="D155" s="28">
        <v>1.78</v>
      </c>
      <c r="E155" s="28">
        <v>0</v>
      </c>
      <c r="F155" s="28">
        <v>0.08</v>
      </c>
      <c r="G155" s="11">
        <f>SUM(C155:F155)</f>
        <v>1.86</v>
      </c>
      <c r="H155"/>
    </row>
    <row r="156" spans="2:8" x14ac:dyDescent="0.25">
      <c r="B156" s="69"/>
      <c r="C156" s="69"/>
      <c r="D156" s="69"/>
      <c r="E156" s="69"/>
      <c r="F156" s="69"/>
      <c r="G156" s="69"/>
      <c r="H156" s="69"/>
    </row>
    <row r="157" spans="2:8" x14ac:dyDescent="0.25">
      <c r="B157" s="70" t="s">
        <v>82</v>
      </c>
      <c r="C157" s="71"/>
      <c r="D157" s="71"/>
      <c r="E157" s="71"/>
      <c r="F157" s="71"/>
      <c r="G157" s="72"/>
    </row>
    <row r="158" spans="2:8" x14ac:dyDescent="0.25">
      <c r="B158" s="18" t="s">
        <v>83</v>
      </c>
      <c r="C158" s="19">
        <v>0</v>
      </c>
      <c r="D158" s="19">
        <f>D146+D150+D154</f>
        <v>1822</v>
      </c>
      <c r="E158" s="19">
        <v>4232</v>
      </c>
      <c r="F158" s="19">
        <f>F146+F154</f>
        <v>1114</v>
      </c>
      <c r="G158" s="19">
        <f>SUM(C158:F158)</f>
        <v>7168</v>
      </c>
    </row>
    <row r="159" spans="2:8" x14ac:dyDescent="0.25">
      <c r="B159" s="18" t="s">
        <v>84</v>
      </c>
      <c r="C159" s="19">
        <v>0</v>
      </c>
      <c r="D159" s="19">
        <f>D147+D151+D155</f>
        <v>38.841999999999999</v>
      </c>
      <c r="E159" s="19">
        <v>127.128</v>
      </c>
      <c r="F159" s="19">
        <f>F147+F155</f>
        <v>13.26375</v>
      </c>
      <c r="G159" s="22">
        <f>SUM(C159:F159)</f>
        <v>179.23374999999999</v>
      </c>
    </row>
    <row r="160" spans="2:8" x14ac:dyDescent="0.25">
      <c r="B160" s="69"/>
      <c r="C160" s="69"/>
      <c r="D160" s="69"/>
      <c r="E160" s="69"/>
      <c r="F160" s="69"/>
      <c r="G160" s="69"/>
      <c r="H160" s="69"/>
    </row>
    <row r="161" spans="2:8" x14ac:dyDescent="0.25">
      <c r="B161" s="68" t="s">
        <v>85</v>
      </c>
      <c r="C161" s="68"/>
      <c r="D161" s="68"/>
      <c r="E161" s="68"/>
      <c r="F161" s="68"/>
      <c r="G161" s="68"/>
    </row>
    <row r="162" spans="2:8" x14ac:dyDescent="0.25">
      <c r="B162" s="14" t="s">
        <v>80</v>
      </c>
      <c r="C162" s="28">
        <v>3045</v>
      </c>
      <c r="D162" s="28">
        <v>36145</v>
      </c>
      <c r="E162" s="28">
        <v>3519</v>
      </c>
      <c r="F162" s="28">
        <v>18343</v>
      </c>
      <c r="G162" s="28">
        <f>SUM(C162:F162)</f>
        <v>61052</v>
      </c>
    </row>
    <row r="163" spans="2:8" x14ac:dyDescent="0.25">
      <c r="B163" s="14" t="s">
        <v>81</v>
      </c>
      <c r="C163" s="28">
        <f>75934743/1000000</f>
        <v>75.934742999999997</v>
      </c>
      <c r="D163" s="28">
        <v>204.374977</v>
      </c>
      <c r="E163" s="28">
        <f>54549448/1000000</f>
        <v>54.549447999999998</v>
      </c>
      <c r="F163" s="28">
        <v>111.210247</v>
      </c>
      <c r="G163" s="11">
        <f>SUM(C163:F163)</f>
        <v>446.06941499999994</v>
      </c>
    </row>
    <row r="164" spans="2:8" x14ac:dyDescent="0.25">
      <c r="B164" s="69"/>
      <c r="C164" s="69"/>
      <c r="D164" s="69"/>
      <c r="E164" s="69"/>
      <c r="F164" s="69"/>
      <c r="G164" s="69"/>
    </row>
    <row r="165" spans="2:8" x14ac:dyDescent="0.25">
      <c r="B165" s="74" t="s">
        <v>86</v>
      </c>
      <c r="C165" s="75"/>
      <c r="D165" s="75"/>
      <c r="E165" s="75"/>
      <c r="F165" s="75"/>
      <c r="G165" s="76"/>
    </row>
    <row r="166" spans="2:8" x14ac:dyDescent="0.25">
      <c r="B166" s="70" t="s">
        <v>87</v>
      </c>
      <c r="C166" s="71"/>
      <c r="D166" s="71"/>
      <c r="E166" s="71"/>
      <c r="F166" s="71"/>
      <c r="G166" s="72"/>
    </row>
    <row r="167" spans="2:8" x14ac:dyDescent="0.25">
      <c r="B167" s="14" t="s">
        <v>88</v>
      </c>
      <c r="C167" s="28">
        <v>309</v>
      </c>
      <c r="D167" s="28">
        <v>2537</v>
      </c>
      <c r="E167" s="28">
        <v>451</v>
      </c>
      <c r="F167" s="28">
        <v>463</v>
      </c>
      <c r="G167" s="28">
        <f>SUM(C167:F167)</f>
        <v>3760</v>
      </c>
    </row>
    <row r="168" spans="2:8" x14ac:dyDescent="0.25">
      <c r="B168" s="14" t="s">
        <v>89</v>
      </c>
      <c r="C168" s="28">
        <f>7725000/1000000</f>
        <v>7.7249999999999996</v>
      </c>
      <c r="D168" s="28">
        <v>60.329707999999997</v>
      </c>
      <c r="E168" s="28">
        <f>7485000/1000000</f>
        <v>7.4850000000000003</v>
      </c>
      <c r="F168" s="28">
        <v>17.135000000000002</v>
      </c>
      <c r="G168" s="11">
        <f>SUM(C168:F168)</f>
        <v>92.674707999999995</v>
      </c>
    </row>
    <row r="169" spans="2:8" x14ac:dyDescent="0.25">
      <c r="B169" s="69"/>
      <c r="C169" s="69"/>
      <c r="D169" s="69"/>
      <c r="E169" s="69"/>
      <c r="F169" s="69"/>
      <c r="G169" s="69"/>
    </row>
    <row r="170" spans="2:8" x14ac:dyDescent="0.25">
      <c r="B170" s="70" t="s">
        <v>90</v>
      </c>
      <c r="C170" s="71"/>
      <c r="D170" s="71"/>
      <c r="E170" s="71"/>
      <c r="F170" s="71"/>
      <c r="G170" s="72"/>
    </row>
    <row r="171" spans="2:8" x14ac:dyDescent="0.25">
      <c r="B171" s="14" t="s">
        <v>91</v>
      </c>
      <c r="C171" s="28">
        <v>1306</v>
      </c>
      <c r="D171" s="28">
        <v>513</v>
      </c>
      <c r="E171" s="28">
        <v>127</v>
      </c>
      <c r="F171" s="28">
        <v>293</v>
      </c>
      <c r="G171" s="28">
        <f>SUM(C171:F171)</f>
        <v>2239</v>
      </c>
    </row>
    <row r="172" spans="2:8" x14ac:dyDescent="0.25">
      <c r="B172" s="14" t="s">
        <v>89</v>
      </c>
      <c r="C172" s="28">
        <f>28732000/1000000</f>
        <v>28.731999999999999</v>
      </c>
      <c r="D172" s="28">
        <v>10.773</v>
      </c>
      <c r="E172" s="28">
        <f>3175000/1000000</f>
        <v>3.1749999999999998</v>
      </c>
      <c r="F172" s="28">
        <v>6.4459999999999997</v>
      </c>
      <c r="G172" s="11">
        <f>SUM(C172:F172)</f>
        <v>49.125999999999991</v>
      </c>
    </row>
    <row r="173" spans="2:8" x14ac:dyDescent="0.25">
      <c r="B173" s="69"/>
      <c r="C173" s="69"/>
      <c r="D173" s="69"/>
      <c r="E173" s="69"/>
      <c r="F173" s="69"/>
      <c r="G173" s="69"/>
      <c r="H173" s="69"/>
    </row>
    <row r="174" spans="2:8" x14ac:dyDescent="0.25">
      <c r="B174" s="70" t="s">
        <v>92</v>
      </c>
      <c r="C174" s="71"/>
      <c r="D174" s="71"/>
      <c r="E174" s="71"/>
      <c r="F174" s="71"/>
      <c r="G174" s="72"/>
    </row>
    <row r="175" spans="2:8" x14ac:dyDescent="0.25">
      <c r="B175" s="14" t="s">
        <v>91</v>
      </c>
      <c r="C175" s="28">
        <v>328</v>
      </c>
      <c r="D175" s="28">
        <v>268</v>
      </c>
      <c r="E175" s="28">
        <v>186</v>
      </c>
      <c r="F175" s="28">
        <v>32</v>
      </c>
      <c r="G175" s="28">
        <f>SUM(C175:F175)</f>
        <v>814</v>
      </c>
    </row>
    <row r="176" spans="2:8" x14ac:dyDescent="0.25">
      <c r="B176" s="14" t="s">
        <v>89</v>
      </c>
      <c r="C176" s="28">
        <f>22960000/1000000</f>
        <v>22.96</v>
      </c>
      <c r="D176" s="28">
        <v>27.68</v>
      </c>
      <c r="E176" s="28">
        <f>10760278/1000000</f>
        <v>10.760278</v>
      </c>
      <c r="F176" s="28">
        <v>3.26</v>
      </c>
      <c r="G176" s="11">
        <f>SUM(C176:F176)</f>
        <v>64.660278000000005</v>
      </c>
    </row>
    <row r="177" spans="2:8" x14ac:dyDescent="0.25">
      <c r="B177" s="69"/>
      <c r="C177" s="69"/>
      <c r="D177" s="69"/>
      <c r="E177" s="69"/>
      <c r="F177" s="69"/>
      <c r="G177" s="69"/>
      <c r="H177" s="69"/>
    </row>
    <row r="178" spans="2:8" x14ac:dyDescent="0.25">
      <c r="B178" s="70" t="s">
        <v>93</v>
      </c>
      <c r="C178" s="71"/>
      <c r="D178" s="71"/>
      <c r="E178" s="71"/>
      <c r="F178" s="71"/>
      <c r="G178" s="72"/>
    </row>
    <row r="179" spans="2:8" x14ac:dyDescent="0.25">
      <c r="B179" s="14" t="s">
        <v>91</v>
      </c>
      <c r="C179" s="28">
        <v>292</v>
      </c>
      <c r="D179" s="28">
        <v>182567</v>
      </c>
      <c r="E179" s="28">
        <v>0</v>
      </c>
      <c r="F179" s="28">
        <v>0</v>
      </c>
      <c r="G179" s="28">
        <f>SUM(C179:F179)</f>
        <v>182859</v>
      </c>
    </row>
    <row r="180" spans="2:8" x14ac:dyDescent="0.25">
      <c r="B180" s="14" t="s">
        <v>89</v>
      </c>
      <c r="C180" s="28">
        <f>8820000/1000000</f>
        <v>8.82</v>
      </c>
      <c r="D180" s="28">
        <v>2604.7337453526179</v>
      </c>
      <c r="E180" s="28">
        <v>0</v>
      </c>
      <c r="F180" s="28">
        <v>0</v>
      </c>
      <c r="G180" s="11">
        <f>SUM(C180:F180)</f>
        <v>2613.5537453526181</v>
      </c>
    </row>
    <row r="181" spans="2:8" x14ac:dyDescent="0.25">
      <c r="B181" s="69"/>
      <c r="C181" s="69"/>
      <c r="D181" s="69"/>
      <c r="E181" s="69"/>
      <c r="F181" s="69"/>
      <c r="G181" s="69"/>
      <c r="H181" s="69"/>
    </row>
    <row r="182" spans="2:8" x14ac:dyDescent="0.25">
      <c r="B182" s="68" t="s">
        <v>94</v>
      </c>
      <c r="C182" s="68"/>
      <c r="D182" s="68"/>
      <c r="E182" s="68"/>
      <c r="F182" s="68"/>
      <c r="G182" s="68"/>
    </row>
    <row r="183" spans="2:8" x14ac:dyDescent="0.25">
      <c r="B183" s="18" t="s">
        <v>95</v>
      </c>
      <c r="C183" s="19">
        <f>+C179+C175+C171+C167</f>
        <v>2235</v>
      </c>
      <c r="D183" s="19">
        <f>D167+D171+D175+D179</f>
        <v>185885</v>
      </c>
      <c r="E183" s="19">
        <f t="shared" ref="E183:E184" si="4">+E179+E175+E171+E167</f>
        <v>764</v>
      </c>
      <c r="F183" s="19">
        <f>+F179+F175+F171+F167</f>
        <v>788</v>
      </c>
      <c r="G183" s="19">
        <f>SUM(C183:F183)</f>
        <v>189672</v>
      </c>
    </row>
    <row r="184" spans="2:8" x14ac:dyDescent="0.25">
      <c r="B184" s="18" t="s">
        <v>96</v>
      </c>
      <c r="C184" s="19">
        <f>+C180+C176+C172+C168</f>
        <v>68.236999999999995</v>
      </c>
      <c r="D184" s="19">
        <f>D168+D172+D176+D180</f>
        <v>2703.5164533526181</v>
      </c>
      <c r="E184" s="19">
        <f t="shared" si="4"/>
        <v>21.420278</v>
      </c>
      <c r="F184" s="19">
        <f>+F180+F176+F172+F168</f>
        <v>26.841000000000001</v>
      </c>
      <c r="G184" s="22">
        <f>SUM(C184:F184)</f>
        <v>2820.0147313526181</v>
      </c>
    </row>
    <row r="185" spans="2:8" x14ac:dyDescent="0.25">
      <c r="B185" s="69"/>
      <c r="C185" s="69"/>
      <c r="D185" s="69"/>
      <c r="E185" s="69"/>
      <c r="F185" s="69"/>
      <c r="G185" s="69"/>
      <c r="H185" s="69"/>
    </row>
    <row r="186" spans="2:8" x14ac:dyDescent="0.25">
      <c r="B186" s="68" t="s">
        <v>97</v>
      </c>
      <c r="C186" s="68"/>
      <c r="D186" s="68"/>
      <c r="E186" s="68"/>
      <c r="F186" s="68"/>
      <c r="G186" s="68"/>
    </row>
    <row r="187" spans="2:8" x14ac:dyDescent="0.25">
      <c r="B187" s="14" t="s">
        <v>98</v>
      </c>
      <c r="C187" s="28">
        <v>5377</v>
      </c>
      <c r="D187" s="28">
        <v>4809</v>
      </c>
      <c r="E187" s="28">
        <v>49</v>
      </c>
      <c r="F187" s="28">
        <v>20245</v>
      </c>
      <c r="G187" s="28">
        <f>SUM(C187:F187)</f>
        <v>30480</v>
      </c>
    </row>
    <row r="188" spans="2:8" x14ac:dyDescent="0.25">
      <c r="B188" s="14" t="s">
        <v>99</v>
      </c>
      <c r="C188" s="28">
        <f>44322489/1000000</f>
        <v>44.322488999999997</v>
      </c>
      <c r="D188" s="28">
        <v>56.873466000000001</v>
      </c>
      <c r="E188" s="28">
        <f>2010000/1000000</f>
        <v>2.0099999999999998</v>
      </c>
      <c r="F188" s="28">
        <v>151.31499699999998</v>
      </c>
      <c r="G188" s="11">
        <f>SUM(C188:F188)</f>
        <v>254.52095199999997</v>
      </c>
    </row>
    <row r="189" spans="2:8" x14ac:dyDescent="0.25">
      <c r="B189" s="69"/>
      <c r="C189" s="69"/>
      <c r="D189" s="69"/>
      <c r="E189" s="69"/>
      <c r="F189" s="69"/>
      <c r="G189" s="69"/>
      <c r="H189" s="69"/>
    </row>
    <row r="190" spans="2:8" x14ac:dyDescent="0.25">
      <c r="B190" s="68" t="s">
        <v>100</v>
      </c>
      <c r="C190" s="68"/>
      <c r="D190" s="68"/>
      <c r="E190" s="68"/>
      <c r="F190" s="68"/>
      <c r="G190" s="68"/>
    </row>
    <row r="191" spans="2:8" x14ac:dyDescent="0.25">
      <c r="B191" s="18" t="s">
        <v>101</v>
      </c>
      <c r="C191" s="19">
        <f>C187+C162+C183</f>
        <v>10657</v>
      </c>
      <c r="D191" s="19">
        <f>+D187+D183+D162+D158</f>
        <v>228661</v>
      </c>
      <c r="E191" s="19">
        <f t="shared" ref="E191:E192" si="5">+E187+E183+E162+E158</f>
        <v>8564</v>
      </c>
      <c r="F191" s="19">
        <f>F158+F162+F183+F187</f>
        <v>40490</v>
      </c>
      <c r="G191" s="19">
        <f>SUM(C191:F191)</f>
        <v>288372</v>
      </c>
    </row>
    <row r="192" spans="2:8" x14ac:dyDescent="0.25">
      <c r="B192" s="18" t="s">
        <v>102</v>
      </c>
      <c r="C192" s="19">
        <f>C188+C163+C184</f>
        <v>188.49423199999998</v>
      </c>
      <c r="D192" s="19">
        <f>+D188+D184+D163+D159</f>
        <v>3003.6068963526182</v>
      </c>
      <c r="E192" s="19">
        <f t="shared" si="5"/>
        <v>205.10772600000001</v>
      </c>
      <c r="F192" s="19">
        <f>F159+F184+F163+F188</f>
        <v>302.62999400000001</v>
      </c>
      <c r="G192" s="22">
        <f>SUM(C192:F192)</f>
        <v>3699.8388483526182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G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D195"/>
  <sheetViews>
    <sheetView topLeftCell="A145" zoomScaleNormal="100" workbookViewId="0">
      <selection activeCell="F183" sqref="F183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3" width="17.42578125" bestFit="1" customWidth="1"/>
    <col min="4" max="4" width="16.42578125" bestFit="1" customWidth="1"/>
    <col min="5" max="5" width="16.28515625" bestFit="1" customWidth="1"/>
    <col min="6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7" t="s">
        <v>1</v>
      </c>
      <c r="D2" s="88"/>
      <c r="E2" s="88"/>
      <c r="F2" s="88"/>
      <c r="G2" s="89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8" t="s">
        <v>7</v>
      </c>
      <c r="C4" s="79"/>
      <c r="D4" s="79"/>
      <c r="E4" s="79"/>
      <c r="F4" s="79"/>
      <c r="G4" s="80"/>
    </row>
    <row r="5" spans="1:7" x14ac:dyDescent="0.25">
      <c r="B5" s="74" t="s">
        <v>103</v>
      </c>
      <c r="C5" s="75"/>
      <c r="D5" s="75"/>
      <c r="E5" s="75"/>
      <c r="F5" s="75"/>
      <c r="G5" s="76"/>
    </row>
    <row r="6" spans="1:7" x14ac:dyDescent="0.25">
      <c r="B6" s="4" t="s">
        <v>104</v>
      </c>
      <c r="C6" s="12">
        <v>54970</v>
      </c>
      <c r="D6" s="12">
        <v>8259</v>
      </c>
      <c r="E6" s="12">
        <v>9102</v>
      </c>
      <c r="F6" s="12">
        <v>10390</v>
      </c>
      <c r="G6" s="12">
        <f>+F6+E6+D6+C6</f>
        <v>82721</v>
      </c>
    </row>
    <row r="7" spans="1:7" x14ac:dyDescent="0.25">
      <c r="B7" s="14" t="s">
        <v>105</v>
      </c>
      <c r="C7" s="12">
        <v>519</v>
      </c>
      <c r="D7" s="12">
        <v>223</v>
      </c>
      <c r="E7" s="12">
        <v>12</v>
      </c>
      <c r="F7" s="12">
        <v>138</v>
      </c>
      <c r="G7" s="12">
        <f>+F7+E7+D7+C7</f>
        <v>892</v>
      </c>
    </row>
    <row r="8" spans="1:7" x14ac:dyDescent="0.25">
      <c r="B8" s="18" t="s">
        <v>106</v>
      </c>
      <c r="C8" s="25">
        <v>55489</v>
      </c>
      <c r="D8" s="25">
        <v>8482</v>
      </c>
      <c r="E8" s="25">
        <v>9114</v>
      </c>
      <c r="F8" s="25">
        <v>10528</v>
      </c>
      <c r="G8" s="25">
        <f>+F8+E8+D8+C8</f>
        <v>83613</v>
      </c>
    </row>
    <row r="9" spans="1:7" x14ac:dyDescent="0.25">
      <c r="B9" s="69"/>
      <c r="C9" s="69"/>
      <c r="D9" s="69"/>
      <c r="E9" s="69"/>
      <c r="F9" s="69"/>
      <c r="G9" s="69"/>
    </row>
    <row r="10" spans="1:7" x14ac:dyDescent="0.25">
      <c r="B10" s="74" t="s">
        <v>8</v>
      </c>
      <c r="C10" s="75"/>
      <c r="D10" s="75"/>
      <c r="E10" s="75"/>
      <c r="F10" s="75"/>
      <c r="G10" s="76"/>
    </row>
    <row r="11" spans="1:7" x14ac:dyDescent="0.25">
      <c r="B11" s="70" t="s">
        <v>9</v>
      </c>
      <c r="C11" s="71"/>
      <c r="D11" s="71"/>
      <c r="E11" s="71"/>
      <c r="F11" s="71"/>
      <c r="G11" s="72"/>
    </row>
    <row r="12" spans="1:7" x14ac:dyDescent="0.25">
      <c r="B12" s="16" t="s">
        <v>10</v>
      </c>
      <c r="C12" s="17">
        <v>930347</v>
      </c>
      <c r="D12" s="17">
        <v>140705</v>
      </c>
      <c r="E12" s="17">
        <v>56486</v>
      </c>
      <c r="F12" s="17">
        <v>0</v>
      </c>
      <c r="G12" s="17">
        <f>SUM(C12:F12)</f>
        <v>1127538</v>
      </c>
    </row>
    <row r="13" spans="1:7" x14ac:dyDescent="0.25">
      <c r="B13" s="16" t="s">
        <v>11</v>
      </c>
      <c r="C13" s="17">
        <v>2338484</v>
      </c>
      <c r="D13" s="17">
        <v>527482</v>
      </c>
      <c r="E13" s="17">
        <v>233831</v>
      </c>
      <c r="F13" s="17">
        <v>0</v>
      </c>
      <c r="G13" s="17">
        <f>SUM(C13:F13)</f>
        <v>3099797</v>
      </c>
    </row>
    <row r="14" spans="1:7" x14ac:dyDescent="0.25">
      <c r="B14" s="18" t="s">
        <v>12</v>
      </c>
      <c r="C14" s="19">
        <v>3268831</v>
      </c>
      <c r="D14" s="19">
        <v>1020328</v>
      </c>
      <c r="E14" s="19">
        <v>290317</v>
      </c>
      <c r="F14" s="19">
        <v>382935</v>
      </c>
      <c r="G14" s="19">
        <f>SUM(C14:F14)</f>
        <v>4962411</v>
      </c>
    </row>
    <row r="15" spans="1:7" x14ac:dyDescent="0.25">
      <c r="B15" s="18" t="s">
        <v>13</v>
      </c>
      <c r="C15" s="19">
        <v>433478</v>
      </c>
      <c r="D15" s="19">
        <v>152875</v>
      </c>
      <c r="E15" s="19">
        <v>2967</v>
      </c>
      <c r="F15" s="19">
        <v>98715</v>
      </c>
      <c r="G15" s="19">
        <f>SUM(C15:F15)</f>
        <v>688035</v>
      </c>
    </row>
    <row r="16" spans="1:7" x14ac:dyDescent="0.25">
      <c r="B16" s="18" t="s">
        <v>14</v>
      </c>
      <c r="C16" s="19">
        <v>3702309</v>
      </c>
      <c r="D16" s="19">
        <v>1173203</v>
      </c>
      <c r="E16" s="19">
        <v>293284</v>
      </c>
      <c r="F16" s="19">
        <v>481650</v>
      </c>
      <c r="G16" s="19">
        <f>SUM(C16:F16)</f>
        <v>5650446</v>
      </c>
    </row>
    <row r="17" spans="2:8" x14ac:dyDescent="0.25">
      <c r="B17" s="69"/>
      <c r="C17" s="69"/>
      <c r="D17" s="69"/>
      <c r="E17" s="69"/>
      <c r="F17" s="69"/>
      <c r="G17" s="69"/>
    </row>
    <row r="18" spans="2:8" x14ac:dyDescent="0.25">
      <c r="B18" s="70" t="s">
        <v>15</v>
      </c>
      <c r="C18" s="71"/>
      <c r="D18" s="71"/>
      <c r="E18" s="71"/>
      <c r="F18" s="71"/>
      <c r="G18" s="72"/>
    </row>
    <row r="19" spans="2:8" x14ac:dyDescent="0.25">
      <c r="B19" s="14" t="s">
        <v>16</v>
      </c>
      <c r="C19" s="17">
        <v>3581</v>
      </c>
      <c r="D19" s="28">
        <v>4</v>
      </c>
      <c r="E19" s="17">
        <v>0</v>
      </c>
      <c r="F19" s="17">
        <v>0</v>
      </c>
      <c r="G19" s="17">
        <f>SUM(C19:F19)</f>
        <v>3585</v>
      </c>
    </row>
    <row r="20" spans="2:8" x14ac:dyDescent="0.25">
      <c r="B20" s="90"/>
      <c r="C20" s="90"/>
      <c r="D20" s="90"/>
      <c r="E20" s="90"/>
      <c r="F20" s="90"/>
      <c r="G20" s="90"/>
    </row>
    <row r="21" spans="2:8" x14ac:dyDescent="0.25">
      <c r="B21" s="18" t="s">
        <v>17</v>
      </c>
      <c r="C21" s="19">
        <f>+C19+C16</f>
        <v>3705890</v>
      </c>
      <c r="D21" s="19">
        <v>1173207</v>
      </c>
      <c r="E21" s="19">
        <f>+E19+E16</f>
        <v>293284</v>
      </c>
      <c r="F21" s="19">
        <f>F16</f>
        <v>481650</v>
      </c>
      <c r="G21" s="19">
        <f>SUM(C21:F21)</f>
        <v>5654031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18</v>
      </c>
      <c r="C23" s="9"/>
      <c r="D23" s="9"/>
      <c r="E23" s="9"/>
      <c r="F23" s="9"/>
      <c r="G23" s="10"/>
    </row>
    <row r="24" spans="2:8" x14ac:dyDescent="0.25">
      <c r="B24" s="18" t="s">
        <v>19</v>
      </c>
      <c r="C24" s="19">
        <v>399499</v>
      </c>
      <c r="D24" s="19">
        <v>201218</v>
      </c>
      <c r="E24" s="19">
        <v>131078</v>
      </c>
      <c r="F24" s="19">
        <v>666077</v>
      </c>
      <c r="G24" s="19">
        <f>SUM(C24:F24)</f>
        <v>1397872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20</v>
      </c>
      <c r="C26" s="9"/>
      <c r="D26" s="9"/>
      <c r="E26" s="9"/>
      <c r="F26" s="9"/>
      <c r="G26" s="10"/>
    </row>
    <row r="27" spans="2:8" x14ac:dyDescent="0.25">
      <c r="B27" s="18" t="s">
        <v>21</v>
      </c>
      <c r="C27" s="19">
        <f>+C24+C21</f>
        <v>4105389</v>
      </c>
      <c r="D27" s="19">
        <f>+D24+D21</f>
        <v>1374425</v>
      </c>
      <c r="E27" s="19">
        <f>+E21+E24</f>
        <v>424362</v>
      </c>
      <c r="F27" s="19">
        <f>+F24+F21</f>
        <v>1147727</v>
      </c>
      <c r="G27" s="19">
        <f>SUM(C27:F27)</f>
        <v>7051903</v>
      </c>
    </row>
    <row r="28" spans="2:8" x14ac:dyDescent="0.25">
      <c r="B28" s="69"/>
      <c r="C28" s="69"/>
      <c r="D28" s="69"/>
      <c r="E28" s="69"/>
      <c r="F28" s="69"/>
      <c r="G28" s="69"/>
      <c r="H28" s="69"/>
    </row>
    <row r="29" spans="2:8" x14ac:dyDescent="0.25">
      <c r="B29" s="74" t="s">
        <v>22</v>
      </c>
      <c r="C29" s="75"/>
      <c r="D29" s="75"/>
      <c r="E29" s="75"/>
      <c r="F29" s="75"/>
      <c r="G29" s="76"/>
    </row>
    <row r="30" spans="2:8" x14ac:dyDescent="0.25">
      <c r="B30" s="14" t="s">
        <v>23</v>
      </c>
      <c r="C30" s="28">
        <v>1215426</v>
      </c>
      <c r="D30" s="28">
        <v>191457</v>
      </c>
      <c r="E30" s="28">
        <v>86742</v>
      </c>
      <c r="F30" s="28">
        <v>197932</v>
      </c>
      <c r="G30" s="28">
        <f>SUM(C30:F30)</f>
        <v>1691557</v>
      </c>
    </row>
    <row r="31" spans="2:8" x14ac:dyDescent="0.25">
      <c r="B31" s="69"/>
      <c r="C31" s="69"/>
      <c r="D31" s="69"/>
      <c r="E31" s="69"/>
      <c r="F31" s="69"/>
      <c r="G31" s="69"/>
      <c r="H31" s="69"/>
    </row>
    <row r="32" spans="2:8" x14ac:dyDescent="0.25">
      <c r="B32" s="74" t="s">
        <v>107</v>
      </c>
      <c r="C32" s="75"/>
      <c r="D32" s="75"/>
      <c r="E32" s="75"/>
      <c r="F32" s="75"/>
      <c r="G32" s="76"/>
    </row>
    <row r="33" spans="2:9" x14ac:dyDescent="0.25">
      <c r="B33" s="14" t="s">
        <v>25</v>
      </c>
      <c r="C33" s="28">
        <v>3328324347708</v>
      </c>
      <c r="D33" s="28">
        <v>579013758874</v>
      </c>
      <c r="E33" s="28">
        <v>232086637650</v>
      </c>
      <c r="F33" s="28">
        <v>310852662263</v>
      </c>
      <c r="G33" s="28">
        <f>SUM(C33:F33)</f>
        <v>4450277406495</v>
      </c>
    </row>
    <row r="34" spans="2:9" x14ac:dyDescent="0.25">
      <c r="B34" s="14" t="s">
        <v>26</v>
      </c>
      <c r="C34" s="28">
        <v>142022911644</v>
      </c>
      <c r="D34" s="28">
        <v>63575919107</v>
      </c>
      <c r="E34" s="28">
        <v>34817280100</v>
      </c>
      <c r="F34" s="28">
        <v>122385589838</v>
      </c>
      <c r="G34" s="28">
        <f>SUM(C34:F34)</f>
        <v>362801700689</v>
      </c>
    </row>
    <row r="35" spans="2:9" x14ac:dyDescent="0.25">
      <c r="B35" s="46" t="s">
        <v>27</v>
      </c>
      <c r="C35" s="19">
        <f>SUM(C33:C34)</f>
        <v>3470347259352</v>
      </c>
      <c r="D35" s="19">
        <v>642589677981</v>
      </c>
      <c r="E35" s="19">
        <f>+E33+E34</f>
        <v>266903917750</v>
      </c>
      <c r="F35" s="19">
        <v>433238252101</v>
      </c>
      <c r="G35" s="47">
        <f>SUM(C35:F35)</f>
        <v>4813079107184</v>
      </c>
    </row>
    <row r="36" spans="2:9" x14ac:dyDescent="0.25">
      <c r="B36" s="85" t="s">
        <v>108</v>
      </c>
      <c r="C36" s="85"/>
      <c r="D36" s="85"/>
      <c r="E36" s="85"/>
      <c r="F36" s="85"/>
      <c r="G36" s="85"/>
      <c r="H36"/>
    </row>
    <row r="37" spans="2:9" x14ac:dyDescent="0.25">
      <c r="B37" s="45"/>
      <c r="C37" s="45"/>
      <c r="D37" s="45"/>
      <c r="E37" s="45"/>
      <c r="F37" s="45"/>
      <c r="G37" s="45"/>
      <c r="H37" s="45"/>
    </row>
    <row r="38" spans="2:9" ht="21" x14ac:dyDescent="0.35">
      <c r="B38" s="78" t="s">
        <v>28</v>
      </c>
      <c r="C38" s="79"/>
      <c r="D38" s="79"/>
      <c r="E38" s="79"/>
      <c r="F38" s="79"/>
      <c r="G38" s="80"/>
    </row>
    <row r="39" spans="2:9" x14ac:dyDescent="0.25">
      <c r="B39" s="74" t="s">
        <v>29</v>
      </c>
      <c r="C39" s="75"/>
      <c r="D39" s="75"/>
      <c r="E39" s="75"/>
      <c r="F39" s="75"/>
      <c r="G39" s="76"/>
    </row>
    <row r="40" spans="2:9" x14ac:dyDescent="0.25">
      <c r="B40" s="14" t="s">
        <v>30</v>
      </c>
      <c r="C40" s="28">
        <v>537239</v>
      </c>
      <c r="D40" s="28">
        <v>129767</v>
      </c>
      <c r="E40" s="28">
        <v>51149</v>
      </c>
      <c r="F40" s="28">
        <v>64530</v>
      </c>
      <c r="G40" s="28">
        <f>SUM(C40:F40)</f>
        <v>782685</v>
      </c>
      <c r="H40" s="7"/>
      <c r="I40" s="7"/>
    </row>
    <row r="41" spans="2:9" x14ac:dyDescent="0.25">
      <c r="B41" s="14" t="s">
        <v>31</v>
      </c>
      <c r="C41" s="28">
        <f>3287826810/1000000</f>
        <v>3287.82681</v>
      </c>
      <c r="D41" s="28">
        <v>924.32668999999999</v>
      </c>
      <c r="E41" s="28">
        <v>372</v>
      </c>
      <c r="F41" s="12">
        <v>421.97720900000002</v>
      </c>
      <c r="G41" s="11">
        <f>SUM(C41:F41)</f>
        <v>5006.130709</v>
      </c>
      <c r="H41" s="7"/>
      <c r="I41" s="7"/>
    </row>
    <row r="42" spans="2:9" x14ac:dyDescent="0.25">
      <c r="B42" s="69"/>
      <c r="C42" s="69"/>
      <c r="D42" s="69"/>
      <c r="E42" s="69"/>
      <c r="F42" s="69"/>
      <c r="G42" s="69"/>
      <c r="H42" s="69"/>
      <c r="I42" s="7"/>
    </row>
    <row r="43" spans="2:9" x14ac:dyDescent="0.25">
      <c r="B43" s="68" t="s">
        <v>109</v>
      </c>
      <c r="C43" s="68"/>
      <c r="D43" s="68"/>
      <c r="E43" s="68"/>
      <c r="F43" s="68"/>
      <c r="G43" s="68"/>
      <c r="I43" s="7"/>
    </row>
    <row r="44" spans="2:9" x14ac:dyDescent="0.25">
      <c r="B44" s="14" t="s">
        <v>111</v>
      </c>
      <c r="C44" s="12">
        <v>4</v>
      </c>
      <c r="D44" s="12">
        <v>3</v>
      </c>
      <c r="E44" s="12">
        <v>5</v>
      </c>
      <c r="F44" s="12">
        <v>2</v>
      </c>
      <c r="G44" s="28">
        <f>SUM(C44:F44)</f>
        <v>14</v>
      </c>
      <c r="H44" s="7"/>
      <c r="I44" s="7"/>
    </row>
    <row r="45" spans="2:9" x14ac:dyDescent="0.25">
      <c r="B45" s="14" t="s">
        <v>112</v>
      </c>
      <c r="C45" s="12">
        <f>4771768/1000000</f>
        <v>4.7717679999999998</v>
      </c>
      <c r="D45" s="12">
        <v>4.0265000000000002E-2</v>
      </c>
      <c r="E45" s="12">
        <v>0.01</v>
      </c>
      <c r="F45" s="12">
        <v>0.121561</v>
      </c>
      <c r="G45" s="11">
        <f>SUM(C45:F45)</f>
        <v>4.9435939999999992</v>
      </c>
      <c r="H45" s="7"/>
      <c r="I45" s="7"/>
    </row>
    <row r="46" spans="2:9" x14ac:dyDescent="0.25">
      <c r="B46" s="69"/>
      <c r="C46" s="69"/>
      <c r="D46" s="69"/>
      <c r="E46" s="69"/>
      <c r="F46" s="69"/>
      <c r="G46" s="69"/>
      <c r="H46" s="69"/>
      <c r="I46" s="7"/>
    </row>
    <row r="47" spans="2:9" x14ac:dyDescent="0.25">
      <c r="B47" s="68" t="s">
        <v>110</v>
      </c>
      <c r="C47" s="68"/>
      <c r="D47" s="68"/>
      <c r="E47" s="68"/>
      <c r="F47" s="68"/>
      <c r="G47" s="68"/>
      <c r="I47" s="7"/>
    </row>
    <row r="48" spans="2:9" x14ac:dyDescent="0.25">
      <c r="B48" s="14" t="s">
        <v>113</v>
      </c>
      <c r="C48" s="28">
        <v>180334</v>
      </c>
      <c r="D48" s="28">
        <v>89907</v>
      </c>
      <c r="E48" s="28">
        <v>13958</v>
      </c>
      <c r="F48" s="28">
        <v>65713</v>
      </c>
      <c r="G48" s="28">
        <f>SUM(C48:F48)</f>
        <v>349912</v>
      </c>
      <c r="H48" s="7"/>
      <c r="I48" s="7"/>
    </row>
    <row r="49" spans="2:9" x14ac:dyDescent="0.25">
      <c r="B49" s="14" t="s">
        <v>114</v>
      </c>
      <c r="C49" s="28">
        <f>(68055264567+ 1236409156)/1000000</f>
        <v>69291.673723</v>
      </c>
      <c r="D49" s="28">
        <v>28902.028294</v>
      </c>
      <c r="E49" s="28">
        <v>10363.01297</v>
      </c>
      <c r="F49" s="12">
        <v>10610.816639000001</v>
      </c>
      <c r="G49" s="11">
        <f>SUM(C49:F49)</f>
        <v>119167.531626</v>
      </c>
      <c r="H49" s="7"/>
      <c r="I49" s="7"/>
    </row>
    <row r="50" spans="2:9" x14ac:dyDescent="0.25">
      <c r="B50" s="69"/>
      <c r="C50" s="69"/>
      <c r="D50" s="69"/>
      <c r="E50" s="69"/>
      <c r="F50" s="69"/>
      <c r="G50" s="69"/>
      <c r="H50" s="69"/>
    </row>
    <row r="51" spans="2:9" ht="21" x14ac:dyDescent="0.35">
      <c r="B51" s="78" t="s">
        <v>38</v>
      </c>
      <c r="C51" s="79"/>
      <c r="D51" s="79"/>
      <c r="E51" s="79"/>
      <c r="F51" s="79"/>
      <c r="G51" s="80"/>
    </row>
    <row r="52" spans="2:9" x14ac:dyDescent="0.25">
      <c r="B52" s="86"/>
      <c r="C52" s="86"/>
      <c r="D52" s="86"/>
      <c r="E52" s="86"/>
      <c r="F52" s="86"/>
      <c r="G52" s="86"/>
      <c r="H52" s="86"/>
    </row>
    <row r="53" spans="2:9" x14ac:dyDescent="0.25">
      <c r="B53" s="68" t="s">
        <v>39</v>
      </c>
      <c r="C53" s="68"/>
      <c r="D53" s="68"/>
      <c r="E53" s="68"/>
      <c r="F53" s="68"/>
      <c r="G53" s="68"/>
    </row>
    <row r="54" spans="2:9" x14ac:dyDescent="0.25">
      <c r="B54" s="73" t="s">
        <v>40</v>
      </c>
      <c r="C54" s="73"/>
      <c r="D54" s="73"/>
      <c r="E54" s="73"/>
      <c r="F54" s="73"/>
      <c r="G54" s="73"/>
    </row>
    <row r="55" spans="2:9" x14ac:dyDescent="0.25">
      <c r="B55" s="14" t="s">
        <v>41</v>
      </c>
      <c r="C55" s="12">
        <v>70624</v>
      </c>
      <c r="D55" s="12">
        <v>4810</v>
      </c>
      <c r="E55" s="12">
        <v>1389</v>
      </c>
      <c r="F55" s="12">
        <v>3810</v>
      </c>
      <c r="G55" s="28">
        <f t="shared" ref="G55:G71" si="0">SUM(C55:F55)</f>
        <v>80633</v>
      </c>
    </row>
    <row r="56" spans="2:9" x14ac:dyDescent="0.25">
      <c r="B56" s="14" t="s">
        <v>42</v>
      </c>
      <c r="C56" s="12">
        <v>69758.255376000001</v>
      </c>
      <c r="D56" s="12">
        <v>7659.1256979999998</v>
      </c>
      <c r="E56" s="12">
        <v>2229.955774</v>
      </c>
      <c r="F56" s="12">
        <v>8770</v>
      </c>
      <c r="G56" s="28">
        <f t="shared" si="0"/>
        <v>88417.336848000006</v>
      </c>
    </row>
    <row r="57" spans="2:9" x14ac:dyDescent="0.25">
      <c r="B57" s="14" t="s">
        <v>43</v>
      </c>
      <c r="C57" s="12">
        <v>17.7077622338015</v>
      </c>
      <c r="D57" s="12">
        <v>40.354923367528578</v>
      </c>
      <c r="E57" s="12">
        <v>26</v>
      </c>
      <c r="F57" s="12">
        <v>32</v>
      </c>
      <c r="G57" s="28">
        <f>AVERAGE(C57:F57)</f>
        <v>29.015671400332518</v>
      </c>
    </row>
    <row r="58" spans="2:9" x14ac:dyDescent="0.25">
      <c r="B58" s="14" t="s">
        <v>44</v>
      </c>
      <c r="C58" s="12">
        <v>799215</v>
      </c>
      <c r="D58" s="12">
        <v>150785</v>
      </c>
      <c r="E58" s="12">
        <v>49582</v>
      </c>
      <c r="F58" s="12">
        <v>64959</v>
      </c>
      <c r="G58" s="28">
        <f t="shared" si="0"/>
        <v>1064541</v>
      </c>
    </row>
    <row r="59" spans="2:9" x14ac:dyDescent="0.25">
      <c r="B59" s="14" t="s">
        <v>115</v>
      </c>
      <c r="C59" s="12">
        <v>1651932.42763</v>
      </c>
      <c r="D59" s="12">
        <v>301176.793535</v>
      </c>
      <c r="E59" s="12">
        <v>105701.019374</v>
      </c>
      <c r="F59" s="12">
        <v>131428</v>
      </c>
      <c r="G59" s="11">
        <f t="shared" si="0"/>
        <v>2190238.2405389999</v>
      </c>
    </row>
    <row r="60" spans="2:9" x14ac:dyDescent="0.25">
      <c r="B60" s="73" t="s">
        <v>45</v>
      </c>
      <c r="C60" s="73"/>
      <c r="D60" s="73"/>
      <c r="E60" s="73"/>
      <c r="F60" s="73"/>
      <c r="G60" s="73"/>
    </row>
    <row r="61" spans="2:9" x14ac:dyDescent="0.25">
      <c r="B61" s="14" t="s">
        <v>41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42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43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44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115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3" t="s">
        <v>46</v>
      </c>
      <c r="C66" s="73"/>
      <c r="D66" s="73"/>
      <c r="E66" s="73"/>
      <c r="F66" s="73"/>
      <c r="G66" s="73"/>
    </row>
    <row r="67" spans="2:8" x14ac:dyDescent="0.25">
      <c r="B67" s="14" t="s">
        <v>41</v>
      </c>
      <c r="C67" s="12">
        <v>6120</v>
      </c>
      <c r="D67" s="12">
        <v>2007</v>
      </c>
      <c r="E67" s="12">
        <v>1006</v>
      </c>
      <c r="F67" s="12">
        <v>9872</v>
      </c>
      <c r="G67" s="28">
        <f t="shared" si="0"/>
        <v>19005</v>
      </c>
    </row>
    <row r="68" spans="2:8" x14ac:dyDescent="0.25">
      <c r="B68" s="14" t="s">
        <v>42</v>
      </c>
      <c r="C68" s="12">
        <v>4905.9086870000001</v>
      </c>
      <c r="D68" s="12">
        <v>2077.6398060000001</v>
      </c>
      <c r="E68" s="12">
        <v>967.33290999999997</v>
      </c>
      <c r="F68" s="12">
        <v>11653</v>
      </c>
      <c r="G68" s="28">
        <f t="shared" si="0"/>
        <v>19603.881402999999</v>
      </c>
    </row>
    <row r="69" spans="2:8" x14ac:dyDescent="0.25">
      <c r="B69" s="14" t="s">
        <v>43</v>
      </c>
      <c r="C69" s="12">
        <v>40.384313725490202</v>
      </c>
      <c r="D69" s="12">
        <v>55.674722858081282</v>
      </c>
      <c r="E69" s="12">
        <v>51</v>
      </c>
      <c r="F69" s="12">
        <v>41</v>
      </c>
      <c r="G69" s="28">
        <f>AVERAGE(C69:F69)</f>
        <v>47.014759145892867</v>
      </c>
    </row>
    <row r="70" spans="2:8" x14ac:dyDescent="0.25">
      <c r="B70" s="14" t="s">
        <v>44</v>
      </c>
      <c r="C70" s="12">
        <v>106169</v>
      </c>
      <c r="D70" s="12">
        <v>83649</v>
      </c>
      <c r="E70" s="12">
        <v>53267</v>
      </c>
      <c r="F70" s="12">
        <v>232406</v>
      </c>
      <c r="G70" s="28">
        <f t="shared" si="0"/>
        <v>475491</v>
      </c>
    </row>
    <row r="71" spans="2:8" x14ac:dyDescent="0.25">
      <c r="B71" s="14" t="s">
        <v>115</v>
      </c>
      <c r="C71" s="12">
        <v>98433.514764000007</v>
      </c>
      <c r="D71" s="12">
        <v>85075.041492000004</v>
      </c>
      <c r="E71" s="12">
        <v>52555.612157000003</v>
      </c>
      <c r="F71" s="12">
        <v>191806</v>
      </c>
      <c r="G71" s="11">
        <f t="shared" si="0"/>
        <v>427870.16841300001</v>
      </c>
    </row>
    <row r="72" spans="2:8" x14ac:dyDescent="0.25">
      <c r="B72" s="82" t="s">
        <v>47</v>
      </c>
      <c r="C72" s="83"/>
      <c r="D72" s="83"/>
      <c r="E72" s="83"/>
      <c r="F72" s="83"/>
      <c r="G72" s="84"/>
    </row>
    <row r="73" spans="2:8" x14ac:dyDescent="0.25">
      <c r="B73" s="18" t="s">
        <v>116</v>
      </c>
      <c r="C73" s="19">
        <f>+C55+C67</f>
        <v>76744</v>
      </c>
      <c r="D73" s="19">
        <f>+D67+D61+D55</f>
        <v>6817</v>
      </c>
      <c r="E73" s="19">
        <f t="shared" ref="E73:E74" si="1">+E67+E61+E55</f>
        <v>2395</v>
      </c>
      <c r="F73" s="19">
        <f>+F55+F67</f>
        <v>13682</v>
      </c>
      <c r="G73" s="19">
        <f>SUM(C73:F73)</f>
        <v>99638</v>
      </c>
    </row>
    <row r="74" spans="2:8" x14ac:dyDescent="0.25">
      <c r="B74" s="18" t="s">
        <v>42</v>
      </c>
      <c r="C74" s="19">
        <f>+C56+C68</f>
        <v>74664.164063000004</v>
      </c>
      <c r="D74" s="19">
        <f t="shared" ref="D74:E77" si="2">+D68+D62+D56</f>
        <v>9736.7655039999991</v>
      </c>
      <c r="E74" s="19">
        <f t="shared" si="1"/>
        <v>3197.2886840000001</v>
      </c>
      <c r="F74" s="19">
        <f>+F56+F68</f>
        <v>20423</v>
      </c>
      <c r="G74" s="22">
        <f>SUM(C74:F74)</f>
        <v>108021.218251</v>
      </c>
    </row>
    <row r="75" spans="2:8" x14ac:dyDescent="0.25">
      <c r="B75" s="18" t="s">
        <v>43</v>
      </c>
      <c r="C75" s="19">
        <v>19.0798498185517</v>
      </c>
      <c r="D75" s="19">
        <f>(+D57+D63+D69)/3</f>
        <v>32.009882075203286</v>
      </c>
      <c r="E75" s="19">
        <v>0</v>
      </c>
      <c r="F75" s="19">
        <f>(F57+F69)/2</f>
        <v>36.5</v>
      </c>
      <c r="G75" s="19">
        <f>AVERAGE(C75:F75)</f>
        <v>21.897432973438747</v>
      </c>
    </row>
    <row r="76" spans="2:8" x14ac:dyDescent="0.25">
      <c r="B76" s="18" t="s">
        <v>44</v>
      </c>
      <c r="C76" s="19">
        <f>+C58+C70</f>
        <v>905384</v>
      </c>
      <c r="D76" s="19">
        <f t="shared" si="2"/>
        <v>234434</v>
      </c>
      <c r="E76" s="19">
        <f t="shared" si="2"/>
        <v>102849</v>
      </c>
      <c r="F76" s="19">
        <f>+F58+F70</f>
        <v>297365</v>
      </c>
      <c r="G76" s="19">
        <f>SUM(C76:F76)</f>
        <v>1540032</v>
      </c>
    </row>
    <row r="77" spans="2:8" x14ac:dyDescent="0.25">
      <c r="B77" s="18" t="s">
        <v>115</v>
      </c>
      <c r="C77" s="19">
        <f>+C59+C71</f>
        <v>1750365.942394</v>
      </c>
      <c r="D77" s="19">
        <f>+D71+D65+D59</f>
        <v>386251.83502699999</v>
      </c>
      <c r="E77" s="19">
        <f t="shared" si="2"/>
        <v>158256.63153099999</v>
      </c>
      <c r="F77" s="19">
        <f>+F59+F71</f>
        <v>323234</v>
      </c>
      <c r="G77" s="22">
        <f>SUM(C77:F77)</f>
        <v>2618108.4089520001</v>
      </c>
    </row>
    <row r="78" spans="2:8" x14ac:dyDescent="0.25">
      <c r="B78" s="69"/>
      <c r="C78" s="69"/>
      <c r="D78" s="69"/>
      <c r="E78" s="69"/>
      <c r="F78" s="69"/>
      <c r="G78" s="69"/>
      <c r="H78" s="69"/>
    </row>
    <row r="79" spans="2:8" x14ac:dyDescent="0.25">
      <c r="B79" s="74" t="s">
        <v>48</v>
      </c>
      <c r="C79" s="75"/>
      <c r="D79" s="75"/>
      <c r="E79" s="75"/>
      <c r="F79" s="75"/>
      <c r="G79" s="76"/>
    </row>
    <row r="80" spans="2:8" x14ac:dyDescent="0.25">
      <c r="B80" s="70" t="s">
        <v>40</v>
      </c>
      <c r="C80" s="71"/>
      <c r="D80" s="71"/>
      <c r="E80" s="71"/>
      <c r="F80" s="71"/>
      <c r="G80" s="72"/>
    </row>
    <row r="81" spans="2:7" x14ac:dyDescent="0.25">
      <c r="B81" s="14" t="s">
        <v>41</v>
      </c>
      <c r="C81" s="28">
        <v>0</v>
      </c>
      <c r="D81" s="28">
        <v>0</v>
      </c>
      <c r="E81" s="28">
        <v>0</v>
      </c>
      <c r="F81" s="28">
        <v>0</v>
      </c>
      <c r="G81" s="20">
        <f>SUM(C81:F81)</f>
        <v>0</v>
      </c>
    </row>
    <row r="82" spans="2:7" x14ac:dyDescent="0.25">
      <c r="B82" s="14" t="s">
        <v>42</v>
      </c>
      <c r="C82" s="28">
        <v>0</v>
      </c>
      <c r="D82" s="28">
        <v>0</v>
      </c>
      <c r="E82" s="28">
        <v>0</v>
      </c>
      <c r="F82" s="28">
        <v>0</v>
      </c>
      <c r="G82" s="24">
        <f>SUM(C82:F82)</f>
        <v>0</v>
      </c>
    </row>
    <row r="83" spans="2:7" x14ac:dyDescent="0.25">
      <c r="B83" s="14" t="s">
        <v>43</v>
      </c>
      <c r="C83" s="28">
        <v>0</v>
      </c>
      <c r="D83" s="28">
        <v>0</v>
      </c>
      <c r="E83" s="28">
        <v>0</v>
      </c>
      <c r="F83" s="28">
        <v>0</v>
      </c>
      <c r="G83" s="24">
        <f>AVERAGE(C83:F83)</f>
        <v>0</v>
      </c>
    </row>
    <row r="84" spans="2:7" x14ac:dyDescent="0.25">
      <c r="B84" s="14" t="s">
        <v>44</v>
      </c>
      <c r="C84" s="28">
        <v>1036</v>
      </c>
      <c r="D84" s="28">
        <v>124</v>
      </c>
      <c r="E84" s="28">
        <v>6</v>
      </c>
      <c r="F84" s="28">
        <v>102</v>
      </c>
      <c r="G84" s="24">
        <f>SUM(C84:F84)</f>
        <v>1268</v>
      </c>
    </row>
    <row r="85" spans="2:7" x14ac:dyDescent="0.25">
      <c r="B85" s="14" t="s">
        <v>115</v>
      </c>
      <c r="C85" s="28">
        <v>21758.076297</v>
      </c>
      <c r="D85" s="28">
        <v>1520</v>
      </c>
      <c r="E85" s="28">
        <v>78</v>
      </c>
      <c r="F85" s="28">
        <v>1920.871924</v>
      </c>
      <c r="G85" s="11">
        <f>SUM(C85:F85)</f>
        <v>25276.948220999999</v>
      </c>
    </row>
    <row r="86" spans="2:7" x14ac:dyDescent="0.25">
      <c r="B86" s="70" t="s">
        <v>45</v>
      </c>
      <c r="C86" s="71"/>
      <c r="D86" s="71"/>
      <c r="E86" s="71"/>
      <c r="F86" s="71"/>
      <c r="G86" s="72"/>
    </row>
    <row r="87" spans="2:7" x14ac:dyDescent="0.25">
      <c r="B87" s="14" t="s">
        <v>41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42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43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44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115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0" t="s">
        <v>46</v>
      </c>
      <c r="C92" s="71"/>
      <c r="D92" s="71"/>
      <c r="E92" s="71"/>
      <c r="F92" s="71"/>
      <c r="G92" s="72"/>
    </row>
    <row r="93" spans="2:7" x14ac:dyDescent="0.25">
      <c r="B93" s="14" t="s">
        <v>41</v>
      </c>
      <c r="C93" s="28">
        <v>0</v>
      </c>
      <c r="D93" s="28">
        <v>0</v>
      </c>
      <c r="E93" s="28">
        <v>0</v>
      </c>
      <c r="F93" s="28">
        <v>0</v>
      </c>
      <c r="G93" s="28">
        <f>SUM(C93:F93)</f>
        <v>0</v>
      </c>
    </row>
    <row r="94" spans="2:7" x14ac:dyDescent="0.25">
      <c r="B94" s="14" t="s">
        <v>42</v>
      </c>
      <c r="C94" s="28">
        <v>0</v>
      </c>
      <c r="D94" s="28">
        <v>0</v>
      </c>
      <c r="E94" s="28">
        <v>0</v>
      </c>
      <c r="F94" s="28">
        <v>0</v>
      </c>
      <c r="G94" s="28">
        <f>SUM(C94:F94)</f>
        <v>0</v>
      </c>
    </row>
    <row r="95" spans="2:7" x14ac:dyDescent="0.25">
      <c r="B95" s="14" t="s">
        <v>43</v>
      </c>
      <c r="C95" s="28">
        <v>0</v>
      </c>
      <c r="D95" s="28">
        <v>0</v>
      </c>
      <c r="E95" s="28">
        <v>0</v>
      </c>
      <c r="F95" s="28">
        <v>0</v>
      </c>
      <c r="G95" s="28">
        <f>AVERAGE(C95:F95)</f>
        <v>0</v>
      </c>
    </row>
    <row r="96" spans="2:7" x14ac:dyDescent="0.25">
      <c r="B96" s="14" t="s">
        <v>44</v>
      </c>
      <c r="C96" s="56">
        <v>12</v>
      </c>
      <c r="D96" s="24">
        <v>0</v>
      </c>
      <c r="E96" s="24">
        <v>0</v>
      </c>
      <c r="F96" s="24">
        <v>7</v>
      </c>
      <c r="G96" s="28">
        <f>SUM(C96:F96)</f>
        <v>19</v>
      </c>
    </row>
    <row r="97" spans="2:8" x14ac:dyDescent="0.25">
      <c r="B97" s="14" t="s">
        <v>115</v>
      </c>
      <c r="C97" s="24">
        <v>188.19892400000001</v>
      </c>
      <c r="D97" s="24">
        <v>0</v>
      </c>
      <c r="E97" s="24">
        <v>0</v>
      </c>
      <c r="F97" s="24">
        <v>90.602108000000001</v>
      </c>
      <c r="G97" s="11">
        <f>SUM(C97:F97)</f>
        <v>278.80103200000002</v>
      </c>
    </row>
    <row r="98" spans="2:8" x14ac:dyDescent="0.25">
      <c r="B98" s="82" t="s">
        <v>49</v>
      </c>
      <c r="C98" s="83"/>
      <c r="D98" s="83"/>
      <c r="E98" s="83"/>
      <c r="F98" s="83"/>
      <c r="G98" s="84"/>
    </row>
    <row r="99" spans="2:8" x14ac:dyDescent="0.25">
      <c r="B99" s="18" t="s">
        <v>41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42</v>
      </c>
      <c r="C100" s="19">
        <v>0</v>
      </c>
      <c r="D100" s="19">
        <v>0</v>
      </c>
      <c r="E100" s="19">
        <v>0</v>
      </c>
      <c r="F100" s="19">
        <v>0</v>
      </c>
      <c r="G100" s="22">
        <f>SUM(C100:F100)</f>
        <v>0</v>
      </c>
    </row>
    <row r="101" spans="2:8" x14ac:dyDescent="0.25">
      <c r="B101" s="18" t="s">
        <v>43</v>
      </c>
      <c r="C101" s="19">
        <v>0</v>
      </c>
      <c r="D101" s="19">
        <v>0</v>
      </c>
      <c r="E101" s="19">
        <v>0</v>
      </c>
      <c r="F101" s="19">
        <v>0</v>
      </c>
      <c r="G101" s="19">
        <f>AVERAGE(C101:F101)</f>
        <v>0</v>
      </c>
    </row>
    <row r="102" spans="2:8" x14ac:dyDescent="0.25">
      <c r="B102" s="18" t="s">
        <v>44</v>
      </c>
      <c r="C102" s="19">
        <f>+C96+C84</f>
        <v>1048</v>
      </c>
      <c r="D102" s="19">
        <f t="shared" ref="D102:D103" si="3">+D96+D90+D84</f>
        <v>124</v>
      </c>
      <c r="E102" s="19">
        <f>+E84</f>
        <v>6</v>
      </c>
      <c r="F102" s="19">
        <f>+F96+F84</f>
        <v>109</v>
      </c>
      <c r="G102" s="19">
        <f>SUM(C102:F102)</f>
        <v>1287</v>
      </c>
    </row>
    <row r="103" spans="2:8" x14ac:dyDescent="0.25">
      <c r="B103" s="18" t="s">
        <v>115</v>
      </c>
      <c r="C103" s="19">
        <f>+C97+C85</f>
        <v>21946.275221</v>
      </c>
      <c r="D103" s="19">
        <f t="shared" si="3"/>
        <v>1520</v>
      </c>
      <c r="E103" s="19">
        <f>+E85</f>
        <v>78</v>
      </c>
      <c r="F103" s="19">
        <f>+F85+F97</f>
        <v>2011.4740320000001</v>
      </c>
      <c r="G103" s="22">
        <f>SUM(C103:F103)</f>
        <v>25555.749253000002</v>
      </c>
    </row>
    <row r="104" spans="2:8" x14ac:dyDescent="0.25">
      <c r="B104" s="69"/>
      <c r="C104" s="69"/>
      <c r="D104" s="69"/>
      <c r="E104" s="69"/>
      <c r="F104" s="69"/>
      <c r="G104" s="69"/>
      <c r="H104" s="69"/>
    </row>
    <row r="105" spans="2:8" x14ac:dyDescent="0.25">
      <c r="B105" s="68" t="s">
        <v>50</v>
      </c>
      <c r="C105" s="68"/>
      <c r="D105" s="68"/>
      <c r="E105" s="68"/>
      <c r="F105" s="68"/>
      <c r="G105" s="68"/>
    </row>
    <row r="106" spans="2:8" x14ac:dyDescent="0.25">
      <c r="B106" s="73" t="s">
        <v>51</v>
      </c>
      <c r="C106" s="73"/>
      <c r="D106" s="73"/>
      <c r="E106" s="73"/>
      <c r="F106" s="73"/>
      <c r="G106" s="73"/>
    </row>
    <row r="107" spans="2:8" x14ac:dyDescent="0.25">
      <c r="B107" s="14" t="s">
        <v>52</v>
      </c>
      <c r="C107" s="13">
        <v>2.3594155374132901</v>
      </c>
      <c r="D107" s="13">
        <v>2.4196411251212666</v>
      </c>
      <c r="E107" s="31">
        <v>2.57</v>
      </c>
      <c r="F107" s="13">
        <v>2.4900000000000002</v>
      </c>
      <c r="G107" s="13">
        <f>AVERAGE(C107:F107)</f>
        <v>2.4597641656336391</v>
      </c>
    </row>
    <row r="108" spans="2:8" x14ac:dyDescent="0.25">
      <c r="B108" s="14" t="s">
        <v>53</v>
      </c>
      <c r="C108" s="13">
        <v>1.8192264443580399</v>
      </c>
      <c r="D108" s="13">
        <v>2.4313084112149701</v>
      </c>
      <c r="E108" s="32">
        <v>2.54</v>
      </c>
      <c r="F108" s="13">
        <v>2.4900000000000002</v>
      </c>
      <c r="G108" s="13">
        <f>AVERAGE(C108:F108)</f>
        <v>2.3201337138932523</v>
      </c>
    </row>
    <row r="109" spans="2:8" x14ac:dyDescent="0.25">
      <c r="B109" s="14" t="s">
        <v>54</v>
      </c>
      <c r="C109" s="13">
        <v>1.8093827707276808</v>
      </c>
      <c r="D109" s="13">
        <v>2.5463258785942595</v>
      </c>
      <c r="E109" s="31">
        <v>2.61</v>
      </c>
      <c r="F109" s="13">
        <v>2.5463258785942595</v>
      </c>
      <c r="G109" s="13">
        <f>AVERAGE(C109:F109)</f>
        <v>2.3780086319790499</v>
      </c>
    </row>
    <row r="110" spans="2:8" x14ac:dyDescent="0.25">
      <c r="B110" s="73" t="s">
        <v>55</v>
      </c>
      <c r="C110" s="73"/>
      <c r="D110" s="73"/>
      <c r="E110" s="73"/>
      <c r="F110" s="73"/>
      <c r="G110" s="73"/>
    </row>
    <row r="111" spans="2:8" x14ac:dyDescent="0.25">
      <c r="B111" s="14" t="s">
        <v>52</v>
      </c>
      <c r="C111" s="13">
        <v>1.5795454545454548</v>
      </c>
      <c r="D111" s="13">
        <v>2.16</v>
      </c>
      <c r="E111" s="31">
        <v>1.1000000000000001</v>
      </c>
      <c r="F111" s="13">
        <v>1.34</v>
      </c>
      <c r="G111" s="13">
        <f>AVERAGE(C111:F111)</f>
        <v>1.5448863636363637</v>
      </c>
    </row>
    <row r="112" spans="2:8" x14ac:dyDescent="0.25">
      <c r="B112" s="14" t="s">
        <v>53</v>
      </c>
      <c r="C112" s="13">
        <v>1.5680219780219746</v>
      </c>
      <c r="D112" s="13">
        <v>2.1599999999999988</v>
      </c>
      <c r="E112" s="31">
        <v>2.14</v>
      </c>
      <c r="F112" s="13">
        <v>1.99</v>
      </c>
      <c r="G112" s="13">
        <f>AVERAGE(C112:F112)</f>
        <v>1.9645054945054934</v>
      </c>
    </row>
    <row r="113" spans="2:9" x14ac:dyDescent="0.25">
      <c r="B113" s="14" t="s">
        <v>54</v>
      </c>
      <c r="C113" s="13">
        <v>1.6252601721439854</v>
      </c>
      <c r="D113" s="13">
        <v>2.1600000000000072</v>
      </c>
      <c r="E113" s="31">
        <v>2.16</v>
      </c>
      <c r="F113" s="31">
        <v>2.15</v>
      </c>
      <c r="G113" s="13">
        <f>AVERAGE(C113:F113)</f>
        <v>2.0238150430359982</v>
      </c>
    </row>
    <row r="114" spans="2:9" x14ac:dyDescent="0.25">
      <c r="B114" s="69"/>
      <c r="C114" s="69"/>
      <c r="D114" s="69"/>
      <c r="E114" s="69"/>
      <c r="F114" s="69"/>
      <c r="G114" s="69"/>
      <c r="H114" s="69"/>
      <c r="I114" s="69"/>
    </row>
    <row r="115" spans="2:9" x14ac:dyDescent="0.25">
      <c r="B115" s="73" t="s">
        <v>56</v>
      </c>
      <c r="C115" s="73"/>
      <c r="D115" s="73"/>
      <c r="E115" s="73"/>
      <c r="F115" s="73"/>
      <c r="G115" s="73"/>
    </row>
    <row r="116" spans="2:9" x14ac:dyDescent="0.25">
      <c r="B116" s="14" t="s">
        <v>52</v>
      </c>
      <c r="C116" s="13">
        <v>1.3546741573033778</v>
      </c>
      <c r="D116" s="13">
        <v>1.7899999999999983</v>
      </c>
      <c r="E116" s="32">
        <v>1.78</v>
      </c>
      <c r="F116" s="13">
        <v>1.77</v>
      </c>
      <c r="G116" s="13">
        <f>AVERAGE(C116:F116)</f>
        <v>1.6736685393258441</v>
      </c>
    </row>
    <row r="117" spans="2:9" x14ac:dyDescent="0.25">
      <c r="B117" s="14" t="s">
        <v>53</v>
      </c>
      <c r="C117" s="13">
        <v>1.5216527037318912</v>
      </c>
      <c r="D117" s="13">
        <v>1.7900000000000043</v>
      </c>
      <c r="E117" s="32">
        <v>1.78</v>
      </c>
      <c r="F117" s="13">
        <v>1.77</v>
      </c>
      <c r="G117" s="13">
        <f>AVERAGE(C117:F117)</f>
        <v>1.7154131759329738</v>
      </c>
    </row>
    <row r="118" spans="2:9" x14ac:dyDescent="0.25">
      <c r="B118" s="14" t="s">
        <v>54</v>
      </c>
      <c r="C118" s="13">
        <v>1.5785556202679001</v>
      </c>
      <c r="D118" s="13">
        <v>1.7899999999999685</v>
      </c>
      <c r="E118" s="32">
        <v>1.79</v>
      </c>
      <c r="F118" s="13">
        <v>1.7899999999999983</v>
      </c>
      <c r="G118" s="13">
        <f>AVERAGE(C118:F118)</f>
        <v>1.7371389050669668</v>
      </c>
    </row>
    <row r="119" spans="2:9" x14ac:dyDescent="0.25">
      <c r="B119" s="70" t="s">
        <v>57</v>
      </c>
      <c r="C119" s="71"/>
      <c r="D119" s="71"/>
      <c r="E119" s="71"/>
      <c r="F119" s="71"/>
      <c r="G119" s="72"/>
    </row>
    <row r="120" spans="2:9" x14ac:dyDescent="0.25">
      <c r="B120" s="14" t="s">
        <v>52</v>
      </c>
      <c r="C120" s="13">
        <v>0</v>
      </c>
      <c r="D120" s="13">
        <v>1.43</v>
      </c>
      <c r="E120" s="31">
        <v>0</v>
      </c>
      <c r="F120" s="31">
        <v>0.39</v>
      </c>
      <c r="G120" s="13">
        <f>AVERAGE(C120:F120)</f>
        <v>0.45499999999999996</v>
      </c>
    </row>
    <row r="121" spans="2:9" x14ac:dyDescent="0.25">
      <c r="B121" s="14" t="s">
        <v>53</v>
      </c>
      <c r="C121" s="13">
        <v>1.34</v>
      </c>
      <c r="D121" s="13">
        <v>1.43</v>
      </c>
      <c r="E121" s="31">
        <v>0</v>
      </c>
      <c r="F121" s="13">
        <v>1.36</v>
      </c>
      <c r="G121" s="13">
        <f>AVERAGE(C121:F121)</f>
        <v>1.0325</v>
      </c>
    </row>
    <row r="122" spans="2:9" x14ac:dyDescent="0.25">
      <c r="B122" s="14" t="s">
        <v>54</v>
      </c>
      <c r="C122" s="13">
        <v>1.43</v>
      </c>
      <c r="D122" s="13">
        <v>1.43</v>
      </c>
      <c r="E122" s="31">
        <v>1.38</v>
      </c>
      <c r="F122" s="31">
        <v>1.38</v>
      </c>
      <c r="G122" s="13">
        <f>AVERAGE(C122:F122)</f>
        <v>1.405</v>
      </c>
    </row>
    <row r="123" spans="2:9" x14ac:dyDescent="0.25">
      <c r="B123" s="69"/>
      <c r="C123" s="69"/>
      <c r="D123" s="69"/>
      <c r="E123" s="69"/>
      <c r="F123" s="69"/>
      <c r="G123" s="69"/>
      <c r="H123" s="69"/>
    </row>
    <row r="124" spans="2:9" x14ac:dyDescent="0.25">
      <c r="B124" s="74" t="s">
        <v>58</v>
      </c>
      <c r="C124" s="75"/>
      <c r="D124" s="75"/>
      <c r="E124" s="75"/>
      <c r="F124" s="75"/>
      <c r="G124" s="76"/>
    </row>
    <row r="125" spans="2:9" x14ac:dyDescent="0.25">
      <c r="B125" s="2" t="s">
        <v>59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4" t="s">
        <v>60</v>
      </c>
      <c r="C126" s="75"/>
      <c r="D126" s="75"/>
      <c r="E126" s="75"/>
      <c r="F126" s="75"/>
      <c r="G126" s="76"/>
    </row>
    <row r="127" spans="2:9" x14ac:dyDescent="0.25">
      <c r="B127" s="3" t="s">
        <v>61</v>
      </c>
      <c r="C127" s="13">
        <v>1.51</v>
      </c>
      <c r="D127" s="42">
        <v>1.9953187173621001</v>
      </c>
      <c r="E127" s="34">
        <v>1.9490499999999999</v>
      </c>
      <c r="F127" s="4">
        <v>0</v>
      </c>
      <c r="G127" s="11">
        <f>AVERAGE(C127:E127)</f>
        <v>1.8181229057873667</v>
      </c>
    </row>
    <row r="128" spans="2:9" x14ac:dyDescent="0.25">
      <c r="B128" s="81"/>
      <c r="C128" s="81"/>
      <c r="D128" s="81"/>
      <c r="E128" s="81"/>
      <c r="F128" s="81"/>
      <c r="G128" s="81"/>
      <c r="H128" s="81"/>
    </row>
    <row r="129" spans="2:9" x14ac:dyDescent="0.25">
      <c r="B129" s="68" t="s">
        <v>62</v>
      </c>
      <c r="C129" s="68"/>
      <c r="D129" s="68"/>
      <c r="E129" s="68"/>
      <c r="F129" s="68"/>
      <c r="G129" s="68"/>
    </row>
    <row r="130" spans="2:9" x14ac:dyDescent="0.25">
      <c r="B130" s="14" t="s">
        <v>63</v>
      </c>
      <c r="C130" s="28">
        <v>267993</v>
      </c>
      <c r="D130" s="28">
        <v>4067</v>
      </c>
      <c r="E130" s="28">
        <v>8596</v>
      </c>
      <c r="F130" s="28">
        <v>825</v>
      </c>
      <c r="G130" s="28">
        <f>SUM(C130:F130)</f>
        <v>281481</v>
      </c>
    </row>
    <row r="131" spans="2:9" x14ac:dyDescent="0.25">
      <c r="B131" s="14" t="s">
        <v>64</v>
      </c>
      <c r="C131" s="28">
        <v>186679.10620899999</v>
      </c>
      <c r="D131" s="28">
        <v>4090.2955499999998</v>
      </c>
      <c r="E131" s="28">
        <v>1232</v>
      </c>
      <c r="F131" s="28">
        <v>961.73079299999995</v>
      </c>
      <c r="G131" s="11">
        <f>SUM(C131:F131)</f>
        <v>192963.132552</v>
      </c>
    </row>
    <row r="132" spans="2:9" x14ac:dyDescent="0.25">
      <c r="B132" s="69"/>
      <c r="C132" s="69"/>
      <c r="D132" s="69"/>
      <c r="E132" s="69"/>
      <c r="F132" s="69"/>
      <c r="G132" s="69"/>
      <c r="H132" s="69"/>
    </row>
    <row r="133" spans="2:9" x14ac:dyDescent="0.25">
      <c r="B133" s="68" t="s">
        <v>65</v>
      </c>
      <c r="C133" s="68"/>
      <c r="D133" s="68"/>
      <c r="E133" s="68"/>
      <c r="F133" s="68"/>
      <c r="G133" s="68"/>
    </row>
    <row r="134" spans="2:9" x14ac:dyDescent="0.25">
      <c r="B134" s="14" t="s">
        <v>66</v>
      </c>
      <c r="C134" s="28">
        <v>490568</v>
      </c>
      <c r="D134" s="28">
        <v>156501</v>
      </c>
      <c r="E134" s="28">
        <f>103633+23318</f>
        <v>126951</v>
      </c>
      <c r="F134" s="28">
        <v>290470</v>
      </c>
      <c r="G134" s="28">
        <f>SUM(C134:F134)</f>
        <v>1064490</v>
      </c>
    </row>
    <row r="135" spans="2:9" x14ac:dyDescent="0.25">
      <c r="B135" s="69"/>
      <c r="C135" s="69"/>
      <c r="D135" s="69"/>
      <c r="E135" s="69"/>
      <c r="F135" s="69"/>
      <c r="G135" s="69"/>
      <c r="H135" s="69"/>
    </row>
    <row r="136" spans="2:9" ht="21" x14ac:dyDescent="0.35">
      <c r="B136" s="77" t="s">
        <v>67</v>
      </c>
      <c r="C136" s="77"/>
      <c r="D136" s="77"/>
      <c r="E136" s="77"/>
      <c r="F136" s="77"/>
      <c r="G136" s="77"/>
    </row>
    <row r="137" spans="2:9" x14ac:dyDescent="0.25">
      <c r="B137" s="68" t="s">
        <v>68</v>
      </c>
      <c r="C137" s="68"/>
      <c r="D137" s="68"/>
      <c r="E137" s="68"/>
      <c r="F137" s="68"/>
      <c r="G137" s="68"/>
    </row>
    <row r="138" spans="2:9" x14ac:dyDescent="0.25">
      <c r="B138" s="14" t="s">
        <v>69</v>
      </c>
      <c r="C138" s="28">
        <v>0</v>
      </c>
      <c r="D138" s="28">
        <v>5198</v>
      </c>
      <c r="E138" s="28">
        <v>0</v>
      </c>
      <c r="F138" s="28">
        <v>15673</v>
      </c>
      <c r="G138" s="28">
        <f>SUM(C138:F138)</f>
        <v>20871</v>
      </c>
      <c r="H138" s="7"/>
      <c r="I138" s="7"/>
    </row>
    <row r="139" spans="2:9" x14ac:dyDescent="0.25">
      <c r="B139" s="14" t="s">
        <v>70</v>
      </c>
      <c r="C139" s="28">
        <v>0</v>
      </c>
      <c r="D139" s="28">
        <v>2</v>
      </c>
      <c r="E139" s="28">
        <v>0</v>
      </c>
      <c r="F139" s="28">
        <v>40</v>
      </c>
      <c r="G139" s="28">
        <f>SUM(C139:F139)</f>
        <v>42</v>
      </c>
      <c r="H139" s="7"/>
      <c r="I139" s="7"/>
    </row>
    <row r="140" spans="2:9" x14ac:dyDescent="0.25">
      <c r="B140" s="69"/>
      <c r="C140" s="69"/>
      <c r="D140" s="69"/>
      <c r="E140" s="69"/>
      <c r="F140" s="69"/>
      <c r="G140" s="69"/>
      <c r="H140" s="69"/>
      <c r="I140" s="7"/>
    </row>
    <row r="141" spans="2:9" x14ac:dyDescent="0.25">
      <c r="B141" s="69"/>
      <c r="C141" s="69"/>
      <c r="D141" s="69"/>
      <c r="E141" s="69"/>
      <c r="F141" s="69"/>
      <c r="G141" s="69"/>
      <c r="H141" s="69"/>
    </row>
    <row r="142" spans="2:9" ht="21" x14ac:dyDescent="0.35">
      <c r="B142" s="78" t="s">
        <v>71</v>
      </c>
      <c r="C142" s="79"/>
      <c r="D142" s="79"/>
      <c r="E142" s="79"/>
      <c r="F142" s="79"/>
      <c r="G142" s="80"/>
    </row>
    <row r="143" spans="2:9" x14ac:dyDescent="0.25">
      <c r="B143" s="74" t="s">
        <v>72</v>
      </c>
      <c r="C143" s="75"/>
      <c r="D143" s="75"/>
      <c r="E143" s="75"/>
      <c r="F143" s="75"/>
      <c r="G143" s="76"/>
    </row>
    <row r="144" spans="2:9" x14ac:dyDescent="0.25">
      <c r="B144" s="69"/>
      <c r="C144" s="69"/>
      <c r="D144" s="69"/>
      <c r="E144" s="69"/>
      <c r="F144" s="69"/>
      <c r="G144" s="69"/>
      <c r="H144" s="69"/>
    </row>
    <row r="145" spans="2:8" x14ac:dyDescent="0.25">
      <c r="B145" s="73" t="s">
        <v>73</v>
      </c>
      <c r="C145" s="73"/>
      <c r="D145" s="73"/>
      <c r="E145" s="73"/>
      <c r="F145" s="73"/>
      <c r="G145" s="73"/>
    </row>
    <row r="146" spans="2:8" x14ac:dyDescent="0.25">
      <c r="B146" s="14" t="s">
        <v>74</v>
      </c>
      <c r="C146" s="28">
        <v>0</v>
      </c>
      <c r="D146" s="28">
        <v>1415</v>
      </c>
      <c r="E146" s="28">
        <v>0</v>
      </c>
      <c r="F146" s="1">
        <v>225</v>
      </c>
      <c r="G146" s="28">
        <f>SUM(C146:F146)</f>
        <v>1640</v>
      </c>
    </row>
    <row r="147" spans="2:8" x14ac:dyDescent="0.25">
      <c r="B147" s="14" t="s">
        <v>75</v>
      </c>
      <c r="C147" s="28">
        <v>0</v>
      </c>
      <c r="D147" s="28">
        <v>30.936</v>
      </c>
      <c r="E147" s="28">
        <v>0</v>
      </c>
      <c r="F147" s="30">
        <v>2.9969999999999999</v>
      </c>
      <c r="G147" s="11">
        <f>SUM(C147:F147)</f>
        <v>33.933</v>
      </c>
    </row>
    <row r="148" spans="2:8" x14ac:dyDescent="0.25">
      <c r="B148" s="69"/>
      <c r="C148" s="69"/>
      <c r="D148" s="69"/>
      <c r="E148" s="69"/>
      <c r="F148" s="69"/>
      <c r="G148" s="69"/>
      <c r="H148" s="69"/>
    </row>
    <row r="149" spans="2:8" x14ac:dyDescent="0.25">
      <c r="B149" s="73" t="s">
        <v>76</v>
      </c>
      <c r="C149" s="73"/>
      <c r="D149" s="73"/>
      <c r="E149" s="73"/>
      <c r="F149" s="73"/>
      <c r="G149" s="73"/>
    </row>
    <row r="150" spans="2:8" x14ac:dyDescent="0.25">
      <c r="B150" s="14" t="s">
        <v>77</v>
      </c>
      <c r="C150" s="30">
        <v>0</v>
      </c>
      <c r="D150" s="30">
        <v>0</v>
      </c>
      <c r="E150" s="30">
        <v>27</v>
      </c>
      <c r="F150" s="30">
        <v>0</v>
      </c>
      <c r="G150" s="28">
        <f>SUM(C150:F150)</f>
        <v>27</v>
      </c>
      <c r="H150"/>
    </row>
    <row r="151" spans="2:8" x14ac:dyDescent="0.25">
      <c r="B151" s="14" t="s">
        <v>78</v>
      </c>
      <c r="C151" s="30">
        <v>0</v>
      </c>
      <c r="D151" s="30">
        <v>0.12</v>
      </c>
      <c r="E151" s="30">
        <f>938000/1000000</f>
        <v>0.93799999999999994</v>
      </c>
      <c r="F151" s="30">
        <v>0</v>
      </c>
      <c r="G151" s="11">
        <f>SUM(C151:F151)</f>
        <v>1.0579999999999998</v>
      </c>
      <c r="H151"/>
    </row>
    <row r="152" spans="2:8" x14ac:dyDescent="0.25">
      <c r="B152" s="69"/>
      <c r="C152" s="69"/>
      <c r="D152" s="69"/>
      <c r="E152" s="69"/>
      <c r="F152" s="69"/>
      <c r="G152" s="69"/>
      <c r="H152" s="69"/>
    </row>
    <row r="153" spans="2:8" x14ac:dyDescent="0.25">
      <c r="B153" s="73" t="s">
        <v>79</v>
      </c>
      <c r="C153" s="73"/>
      <c r="D153" s="73"/>
      <c r="E153" s="73"/>
      <c r="F153" s="73"/>
      <c r="G153" s="73"/>
    </row>
    <row r="154" spans="2:8" x14ac:dyDescent="0.25">
      <c r="B154" s="14" t="s">
        <v>80</v>
      </c>
      <c r="C154" s="28">
        <v>0</v>
      </c>
      <c r="D154" s="28">
        <v>166</v>
      </c>
      <c r="E154" s="28">
        <v>0</v>
      </c>
      <c r="F154" s="35">
        <v>0</v>
      </c>
      <c r="G154" s="28">
        <f>SUM(C154:F154)</f>
        <v>166</v>
      </c>
      <c r="H154"/>
    </row>
    <row r="155" spans="2:8" x14ac:dyDescent="0.25">
      <c r="B155" s="14" t="s">
        <v>81</v>
      </c>
      <c r="C155" s="28">
        <v>0</v>
      </c>
      <c r="D155" s="28">
        <v>2.36</v>
      </c>
      <c r="E155" s="28">
        <v>0</v>
      </c>
      <c r="F155" s="30">
        <v>0</v>
      </c>
      <c r="G155" s="11">
        <f>SUM(C155:F155)</f>
        <v>2.36</v>
      </c>
      <c r="H155"/>
    </row>
    <row r="156" spans="2:8" x14ac:dyDescent="0.25">
      <c r="B156" s="69"/>
      <c r="C156" s="69"/>
      <c r="D156" s="69"/>
      <c r="E156" s="69"/>
      <c r="F156" s="69"/>
      <c r="G156" s="69"/>
      <c r="H156" s="69"/>
    </row>
    <row r="157" spans="2:8" x14ac:dyDescent="0.25">
      <c r="B157" s="70" t="s">
        <v>82</v>
      </c>
      <c r="C157" s="71"/>
      <c r="D157" s="71"/>
      <c r="E157" s="71"/>
      <c r="F157" s="71"/>
      <c r="G157" s="72"/>
    </row>
    <row r="158" spans="2:8" x14ac:dyDescent="0.25">
      <c r="B158" s="18" t="s">
        <v>83</v>
      </c>
      <c r="C158" s="19">
        <v>0</v>
      </c>
      <c r="D158" s="19">
        <f>D146+D150+D154</f>
        <v>1581</v>
      </c>
      <c r="E158" s="19">
        <v>27</v>
      </c>
      <c r="F158" s="19">
        <f>F146+F154</f>
        <v>225</v>
      </c>
      <c r="G158" s="19">
        <f>SUM(C158:F158)</f>
        <v>1833</v>
      </c>
    </row>
    <row r="159" spans="2:8" x14ac:dyDescent="0.25">
      <c r="B159" s="18" t="s">
        <v>84</v>
      </c>
      <c r="C159" s="19">
        <v>0</v>
      </c>
      <c r="D159" s="19">
        <f>D147+D151+D155</f>
        <v>33.416000000000004</v>
      </c>
      <c r="E159" s="19">
        <v>0.93799999999999994</v>
      </c>
      <c r="F159" s="19">
        <f>F147+F155</f>
        <v>2.9969999999999999</v>
      </c>
      <c r="G159" s="22">
        <f>SUM(C159:F159)</f>
        <v>37.351000000000006</v>
      </c>
    </row>
    <row r="160" spans="2:8" x14ac:dyDescent="0.25">
      <c r="B160" s="69"/>
      <c r="C160" s="69"/>
      <c r="D160" s="69"/>
      <c r="E160" s="69"/>
      <c r="F160" s="69"/>
      <c r="G160" s="69"/>
      <c r="H160" s="69"/>
    </row>
    <row r="161" spans="2:8" x14ac:dyDescent="0.25">
      <c r="B161" s="68" t="s">
        <v>85</v>
      </c>
      <c r="C161" s="68"/>
      <c r="D161" s="68"/>
      <c r="E161" s="68"/>
      <c r="F161" s="68"/>
      <c r="G161" s="68"/>
    </row>
    <row r="162" spans="2:8" x14ac:dyDescent="0.25">
      <c r="B162" s="14" t="s">
        <v>80</v>
      </c>
      <c r="C162" s="28">
        <v>2981</v>
      </c>
      <c r="D162" s="28">
        <v>38788</v>
      </c>
      <c r="E162" s="28">
        <v>3739</v>
      </c>
      <c r="F162" s="28">
        <v>19870</v>
      </c>
      <c r="G162" s="28">
        <f>SUM(C162:F162)</f>
        <v>65378</v>
      </c>
    </row>
    <row r="163" spans="2:8" x14ac:dyDescent="0.25">
      <c r="B163" s="14" t="s">
        <v>81</v>
      </c>
      <c r="C163" s="28">
        <v>75.123295999999996</v>
      </c>
      <c r="D163" s="28">
        <v>207.39835099999999</v>
      </c>
      <c r="E163" s="28">
        <f>57878106/1000000</f>
        <v>57.878106000000002</v>
      </c>
      <c r="F163" s="28">
        <v>119.953287</v>
      </c>
      <c r="G163" s="11">
        <f>SUM(C163:F163)</f>
        <v>460.35303999999996</v>
      </c>
    </row>
    <row r="164" spans="2:8" x14ac:dyDescent="0.25">
      <c r="B164" s="69"/>
      <c r="C164" s="69"/>
      <c r="D164" s="69"/>
      <c r="E164" s="69"/>
      <c r="F164" s="69"/>
      <c r="G164" s="69"/>
    </row>
    <row r="165" spans="2:8" x14ac:dyDescent="0.25">
      <c r="B165" s="74" t="s">
        <v>86</v>
      </c>
      <c r="C165" s="75"/>
      <c r="D165" s="75"/>
      <c r="E165" s="75"/>
      <c r="F165" s="75"/>
      <c r="G165" s="76"/>
    </row>
    <row r="166" spans="2:8" x14ac:dyDescent="0.25">
      <c r="B166" s="70" t="s">
        <v>87</v>
      </c>
      <c r="C166" s="71"/>
      <c r="D166" s="71"/>
      <c r="E166" s="71"/>
      <c r="F166" s="71"/>
      <c r="G166" s="72"/>
    </row>
    <row r="167" spans="2:8" x14ac:dyDescent="0.25">
      <c r="B167" s="14" t="s">
        <v>88</v>
      </c>
      <c r="C167" s="28">
        <v>263</v>
      </c>
      <c r="D167" s="28">
        <v>2751</v>
      </c>
      <c r="E167" s="28">
        <v>456</v>
      </c>
      <c r="F167" s="28">
        <v>448</v>
      </c>
      <c r="G167" s="28">
        <f>SUM(C167:F167)</f>
        <v>3918</v>
      </c>
    </row>
    <row r="168" spans="2:8" x14ac:dyDescent="0.25">
      <c r="B168" s="14" t="s">
        <v>89</v>
      </c>
      <c r="C168" s="28">
        <f>6575000/1000000</f>
        <v>6.5750000000000002</v>
      </c>
      <c r="D168" s="28">
        <v>65.007163000000006</v>
      </c>
      <c r="E168" s="28">
        <f>7640000/1000000</f>
        <v>7.64</v>
      </c>
      <c r="F168" s="28">
        <v>16.5</v>
      </c>
      <c r="G168" s="11">
        <f>SUM(C168:F168)</f>
        <v>95.722163000000009</v>
      </c>
    </row>
    <row r="169" spans="2:8" x14ac:dyDescent="0.25">
      <c r="B169" s="69"/>
      <c r="C169" s="69"/>
      <c r="D169" s="69"/>
      <c r="E169" s="69"/>
      <c r="F169" s="69"/>
      <c r="G169" s="69"/>
    </row>
    <row r="170" spans="2:8" x14ac:dyDescent="0.25">
      <c r="B170" s="70" t="s">
        <v>90</v>
      </c>
      <c r="C170" s="71"/>
      <c r="D170" s="71"/>
      <c r="E170" s="71"/>
      <c r="F170" s="71"/>
      <c r="G170" s="72"/>
    </row>
    <row r="171" spans="2:8" x14ac:dyDescent="0.25">
      <c r="B171" s="14" t="s">
        <v>91</v>
      </c>
      <c r="C171" s="28">
        <v>1416</v>
      </c>
      <c r="D171" s="28">
        <v>584</v>
      </c>
      <c r="E171" s="28">
        <v>135</v>
      </c>
      <c r="F171" s="28">
        <v>323</v>
      </c>
      <c r="G171" s="28">
        <f>SUM(C171:F171)</f>
        <v>2458</v>
      </c>
    </row>
    <row r="172" spans="2:8" x14ac:dyDescent="0.25">
      <c r="B172" s="14" t="s">
        <v>89</v>
      </c>
      <c r="C172" s="28">
        <f>31152000/1000000</f>
        <v>31.152000000000001</v>
      </c>
      <c r="D172" s="28">
        <v>12.263999999999999</v>
      </c>
      <c r="E172" s="28">
        <f>3375000/1000000</f>
        <v>3.375</v>
      </c>
      <c r="F172" s="28">
        <v>7.1079999999999997</v>
      </c>
      <c r="G172" s="11">
        <f>SUM(C172:F172)</f>
        <v>53.898999999999994</v>
      </c>
    </row>
    <row r="173" spans="2:8" x14ac:dyDescent="0.25">
      <c r="B173" s="69"/>
      <c r="C173" s="69"/>
      <c r="D173" s="69"/>
      <c r="E173" s="69"/>
      <c r="F173" s="69"/>
      <c r="G173" s="69"/>
      <c r="H173" s="69"/>
    </row>
    <row r="174" spans="2:8" x14ac:dyDescent="0.25">
      <c r="B174" s="70" t="s">
        <v>92</v>
      </c>
      <c r="C174" s="71"/>
      <c r="D174" s="71"/>
      <c r="E174" s="71"/>
      <c r="F174" s="71"/>
      <c r="G174" s="72"/>
    </row>
    <row r="175" spans="2:8" x14ac:dyDescent="0.25">
      <c r="B175" s="14" t="s">
        <v>91</v>
      </c>
      <c r="C175" s="28">
        <v>363</v>
      </c>
      <c r="D175" s="28">
        <v>305</v>
      </c>
      <c r="E175" s="28">
        <v>213</v>
      </c>
      <c r="F175" s="28">
        <v>53</v>
      </c>
      <c r="G175" s="28">
        <f>SUM(C175:F175)</f>
        <v>934</v>
      </c>
    </row>
    <row r="176" spans="2:8" x14ac:dyDescent="0.25">
      <c r="B176" s="14" t="s">
        <v>89</v>
      </c>
      <c r="C176" s="28">
        <f>25410000/1000000</f>
        <v>25.41</v>
      </c>
      <c r="D176" s="28">
        <v>31.92</v>
      </c>
      <c r="E176" s="28">
        <f>11612563/1000000</f>
        <v>11.612563</v>
      </c>
      <c r="F176" s="28">
        <v>5.45</v>
      </c>
      <c r="G176" s="11">
        <f>SUM(C176:F176)</f>
        <v>74.392562999999996</v>
      </c>
    </row>
    <row r="177" spans="2:8" x14ac:dyDescent="0.25">
      <c r="B177" s="69"/>
      <c r="C177" s="69"/>
      <c r="D177" s="69"/>
      <c r="E177" s="69"/>
      <c r="F177" s="69"/>
      <c r="G177" s="69"/>
      <c r="H177" s="69"/>
    </row>
    <row r="178" spans="2:8" x14ac:dyDescent="0.25">
      <c r="B178" s="70" t="s">
        <v>93</v>
      </c>
      <c r="C178" s="71"/>
      <c r="D178" s="71"/>
      <c r="E178" s="71"/>
      <c r="F178" s="71"/>
      <c r="G178" s="72"/>
    </row>
    <row r="179" spans="2:8" x14ac:dyDescent="0.25">
      <c r="B179" s="14" t="s">
        <v>91</v>
      </c>
      <c r="C179" s="28">
        <v>322</v>
      </c>
      <c r="D179" s="28">
        <v>206037</v>
      </c>
      <c r="E179" s="28">
        <v>0</v>
      </c>
      <c r="F179" s="28">
        <v>0</v>
      </c>
      <c r="G179" s="28">
        <f>SUM(C179:F179)</f>
        <v>206359</v>
      </c>
    </row>
    <row r="180" spans="2:8" x14ac:dyDescent="0.25">
      <c r="B180" s="14" t="s">
        <v>89</v>
      </c>
      <c r="C180" s="28">
        <f>10030000/1000000</f>
        <v>10.029999999999999</v>
      </c>
      <c r="D180" s="28">
        <v>2798.8840188897307</v>
      </c>
      <c r="E180" s="28">
        <v>0</v>
      </c>
      <c r="F180" s="28">
        <v>0</v>
      </c>
      <c r="G180" s="11">
        <f>SUM(C180:F180)</f>
        <v>2808.9140188897309</v>
      </c>
    </row>
    <row r="181" spans="2:8" x14ac:dyDescent="0.25">
      <c r="B181" s="69"/>
      <c r="C181" s="69"/>
      <c r="D181" s="69"/>
      <c r="E181" s="69"/>
      <c r="F181" s="69"/>
      <c r="G181" s="69"/>
      <c r="H181" s="69"/>
    </row>
    <row r="182" spans="2:8" x14ac:dyDescent="0.25">
      <c r="B182" s="68" t="s">
        <v>94</v>
      </c>
      <c r="C182" s="68"/>
      <c r="D182" s="68"/>
      <c r="E182" s="68"/>
      <c r="F182" s="68"/>
      <c r="G182" s="68"/>
    </row>
    <row r="183" spans="2:8" x14ac:dyDescent="0.25">
      <c r="B183" s="18" t="s">
        <v>95</v>
      </c>
      <c r="C183" s="19">
        <f>+C179+C175+C171+C167</f>
        <v>2364</v>
      </c>
      <c r="D183" s="19">
        <f>D167+D171+D175+D179</f>
        <v>209677</v>
      </c>
      <c r="E183" s="19">
        <f t="shared" ref="E183:E184" si="4">+E179+E175+E171+E167</f>
        <v>804</v>
      </c>
      <c r="F183" s="19">
        <f>+F179+F175+F171+F167</f>
        <v>824</v>
      </c>
      <c r="G183" s="19">
        <f>SUM(C183:F183)</f>
        <v>213669</v>
      </c>
    </row>
    <row r="184" spans="2:8" x14ac:dyDescent="0.25">
      <c r="B184" s="18" t="s">
        <v>96</v>
      </c>
      <c r="C184" s="19">
        <f>+C180+C176+C172+C168</f>
        <v>73.167000000000002</v>
      </c>
      <c r="D184" s="19">
        <f>D168+D172+D176+D180</f>
        <v>2908.0751818897306</v>
      </c>
      <c r="E184" s="19">
        <f t="shared" si="4"/>
        <v>22.627562999999999</v>
      </c>
      <c r="F184" s="19">
        <f>+F180+F176+F172+F168</f>
        <v>29.058</v>
      </c>
      <c r="G184" s="22">
        <f>SUM(C184:F184)</f>
        <v>3032.9277448897305</v>
      </c>
    </row>
    <row r="185" spans="2:8" x14ac:dyDescent="0.25">
      <c r="B185" s="69"/>
      <c r="C185" s="69"/>
      <c r="D185" s="69"/>
      <c r="E185" s="69"/>
      <c r="F185" s="69"/>
      <c r="G185" s="69"/>
      <c r="H185" s="69"/>
    </row>
    <row r="186" spans="2:8" x14ac:dyDescent="0.25">
      <c r="B186" s="68" t="s">
        <v>97</v>
      </c>
      <c r="C186" s="68"/>
      <c r="D186" s="68"/>
      <c r="E186" s="68"/>
      <c r="F186" s="68"/>
      <c r="G186" s="68"/>
    </row>
    <row r="187" spans="2:8" x14ac:dyDescent="0.25">
      <c r="B187" s="14" t="s">
        <v>98</v>
      </c>
      <c r="C187" s="28">
        <v>6008</v>
      </c>
      <c r="D187" s="28">
        <v>2913</v>
      </c>
      <c r="E187" s="28">
        <v>67</v>
      </c>
      <c r="F187" s="28">
        <f>F166+F171+F175+F179+F162</f>
        <v>20246</v>
      </c>
      <c r="G187" s="28">
        <f>SUM(C187:F187)</f>
        <v>29234</v>
      </c>
    </row>
    <row r="188" spans="2:8" x14ac:dyDescent="0.25">
      <c r="B188" s="14" t="s">
        <v>99</v>
      </c>
      <c r="C188" s="28">
        <f>49247268/1000000</f>
        <v>49.247267999999998</v>
      </c>
      <c r="D188" s="28">
        <v>68.814524000000006</v>
      </c>
      <c r="E188" s="28">
        <f>2700000/1000000</f>
        <v>2.7</v>
      </c>
      <c r="F188" s="28">
        <f>F167+F172+F176+F180+F163</f>
        <v>580.51128700000004</v>
      </c>
      <c r="G188" s="11">
        <f>SUM(C188:F188)</f>
        <v>701.27307900000005</v>
      </c>
    </row>
    <row r="189" spans="2:8" x14ac:dyDescent="0.25">
      <c r="B189" s="69"/>
      <c r="C189" s="69"/>
      <c r="D189" s="69"/>
      <c r="E189" s="69"/>
      <c r="F189" s="69"/>
      <c r="G189" s="69"/>
      <c r="H189" s="69"/>
    </row>
    <row r="190" spans="2:8" x14ac:dyDescent="0.25">
      <c r="B190" s="68" t="s">
        <v>100</v>
      </c>
      <c r="C190" s="68"/>
      <c r="D190" s="68"/>
      <c r="E190" s="68"/>
      <c r="F190" s="68"/>
      <c r="G190" s="68"/>
    </row>
    <row r="191" spans="2:8" x14ac:dyDescent="0.25">
      <c r="B191" s="18" t="s">
        <v>101</v>
      </c>
      <c r="C191" s="19">
        <f>C187+C162+C183</f>
        <v>11353</v>
      </c>
      <c r="D191" s="19">
        <f>+D187+D183+D162+D158</f>
        <v>252959</v>
      </c>
      <c r="E191" s="19">
        <f t="shared" ref="E191:E192" si="5">+E187+E183+E162+E158</f>
        <v>4637</v>
      </c>
      <c r="F191" s="19">
        <f>F158+F162+F183+F187</f>
        <v>41165</v>
      </c>
      <c r="G191" s="19">
        <f>SUM(C191:F191)</f>
        <v>310114</v>
      </c>
    </row>
    <row r="192" spans="2:8" x14ac:dyDescent="0.25">
      <c r="B192" s="18" t="s">
        <v>102</v>
      </c>
      <c r="C192" s="19">
        <f>C188+C163+C184</f>
        <v>197.537564</v>
      </c>
      <c r="D192" s="19">
        <f>+D188+D184+D163+D159</f>
        <v>3217.7040568897305</v>
      </c>
      <c r="E192" s="19">
        <f t="shared" si="5"/>
        <v>84.143669000000003</v>
      </c>
      <c r="F192" s="19">
        <f>F159+F184+F163+F188</f>
        <v>732.51957400000003</v>
      </c>
      <c r="G192" s="22">
        <f>SUM(C192:F192)</f>
        <v>4231.9048638897311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G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D195"/>
  <sheetViews>
    <sheetView topLeftCell="A171" zoomScaleNormal="100" workbookViewId="0">
      <selection activeCell="F155" sqref="F155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3" width="17.42578125" bestFit="1" customWidth="1"/>
    <col min="4" max="4" width="16.42578125" bestFit="1" customWidth="1"/>
    <col min="5" max="5" width="16.28515625" bestFit="1" customWidth="1"/>
    <col min="6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7" t="s">
        <v>1</v>
      </c>
      <c r="D2" s="88"/>
      <c r="E2" s="88"/>
      <c r="F2" s="88"/>
      <c r="G2" s="89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8" t="s">
        <v>7</v>
      </c>
      <c r="C4" s="79"/>
      <c r="D4" s="79"/>
      <c r="E4" s="79"/>
      <c r="F4" s="79"/>
      <c r="G4" s="80"/>
    </row>
    <row r="5" spans="1:7" x14ac:dyDescent="0.25">
      <c r="B5" s="74" t="s">
        <v>103</v>
      </c>
      <c r="C5" s="75"/>
      <c r="D5" s="75"/>
      <c r="E5" s="75"/>
      <c r="F5" s="75"/>
      <c r="G5" s="76"/>
    </row>
    <row r="6" spans="1:7" x14ac:dyDescent="0.25">
      <c r="B6" s="4" t="s">
        <v>104</v>
      </c>
      <c r="C6" s="12">
        <v>55080</v>
      </c>
      <c r="D6" s="12">
        <v>8246</v>
      </c>
      <c r="E6" s="12">
        <v>9063</v>
      </c>
      <c r="F6" s="12">
        <v>10433</v>
      </c>
      <c r="G6" s="12">
        <f>+F6+E6+D6+C6</f>
        <v>82822</v>
      </c>
    </row>
    <row r="7" spans="1:7" x14ac:dyDescent="0.25">
      <c r="B7" s="14" t="s">
        <v>105</v>
      </c>
      <c r="C7" s="12">
        <v>519</v>
      </c>
      <c r="D7" s="12">
        <v>223</v>
      </c>
      <c r="E7" s="12">
        <v>12</v>
      </c>
      <c r="F7" s="12">
        <v>146</v>
      </c>
      <c r="G7" s="12">
        <f>+F7+E7+D7+C7</f>
        <v>900</v>
      </c>
    </row>
    <row r="8" spans="1:7" x14ac:dyDescent="0.25">
      <c r="B8" s="18" t="s">
        <v>106</v>
      </c>
      <c r="C8" s="25">
        <f>SUM(C6:C7)</f>
        <v>55599</v>
      </c>
      <c r="D8" s="25">
        <f>+D6+D7</f>
        <v>8469</v>
      </c>
      <c r="E8" s="25">
        <v>9075</v>
      </c>
      <c r="F8" s="25">
        <v>10579</v>
      </c>
      <c r="G8" s="25">
        <f>+F8+E8+D8+C8</f>
        <v>83722</v>
      </c>
    </row>
    <row r="9" spans="1:7" x14ac:dyDescent="0.25">
      <c r="B9" s="69"/>
      <c r="C9" s="69"/>
      <c r="D9" s="69"/>
      <c r="E9" s="69"/>
      <c r="F9" s="69"/>
      <c r="G9" s="69"/>
    </row>
    <row r="10" spans="1:7" x14ac:dyDescent="0.25">
      <c r="B10" s="74" t="s">
        <v>8</v>
      </c>
      <c r="C10" s="75"/>
      <c r="D10" s="75"/>
      <c r="E10" s="75"/>
      <c r="F10" s="75"/>
      <c r="G10" s="76"/>
    </row>
    <row r="11" spans="1:7" x14ac:dyDescent="0.25">
      <c r="B11" s="70" t="s">
        <v>9</v>
      </c>
      <c r="C11" s="71"/>
      <c r="D11" s="71"/>
      <c r="E11" s="71"/>
      <c r="F11" s="71"/>
      <c r="G11" s="72"/>
    </row>
    <row r="12" spans="1:7" x14ac:dyDescent="0.25">
      <c r="B12" s="16" t="s">
        <v>10</v>
      </c>
      <c r="C12" s="17">
        <v>928280</v>
      </c>
      <c r="D12" s="17">
        <v>140184</v>
      </c>
      <c r="E12" s="17">
        <v>55957</v>
      </c>
      <c r="F12" s="17">
        <v>0</v>
      </c>
      <c r="G12" s="17">
        <f>SUM(C12:F12)</f>
        <v>1124421</v>
      </c>
    </row>
    <row r="13" spans="1:7" x14ac:dyDescent="0.25">
      <c r="B13" s="16" t="s">
        <v>11</v>
      </c>
      <c r="C13" s="17">
        <v>2314661</v>
      </c>
      <c r="D13" s="17">
        <v>523559</v>
      </c>
      <c r="E13" s="17">
        <v>232004</v>
      </c>
      <c r="F13" s="17">
        <v>0</v>
      </c>
      <c r="G13" s="17">
        <f>SUM(C13:F13)</f>
        <v>3070224</v>
      </c>
    </row>
    <row r="14" spans="1:7" x14ac:dyDescent="0.25">
      <c r="B14" s="18" t="s">
        <v>12</v>
      </c>
      <c r="C14" s="19">
        <f>C13+C12</f>
        <v>3242941</v>
      </c>
      <c r="D14" s="19">
        <v>1012901</v>
      </c>
      <c r="E14" s="19">
        <f>SUM(E12:E13)</f>
        <v>287961</v>
      </c>
      <c r="F14" s="19">
        <v>364124</v>
      </c>
      <c r="G14" s="19">
        <f>SUM(C14:F14)</f>
        <v>4907927</v>
      </c>
    </row>
    <row r="15" spans="1:7" x14ac:dyDescent="0.25">
      <c r="B15" s="18" t="s">
        <v>13</v>
      </c>
      <c r="C15" s="19">
        <v>434372</v>
      </c>
      <c r="D15" s="19">
        <v>154972</v>
      </c>
      <c r="E15" s="19">
        <v>3043</v>
      </c>
      <c r="F15" s="19">
        <v>135769</v>
      </c>
      <c r="G15" s="19">
        <f>SUM(C15:F15)</f>
        <v>728156</v>
      </c>
    </row>
    <row r="16" spans="1:7" x14ac:dyDescent="0.25">
      <c r="B16" s="18" t="s">
        <v>14</v>
      </c>
      <c r="C16" s="19">
        <f>C15+C14</f>
        <v>3677313</v>
      </c>
      <c r="D16" s="19">
        <f>+D14+D15</f>
        <v>1167873</v>
      </c>
      <c r="E16" s="19">
        <f>SUM(E14:E15)</f>
        <v>291004</v>
      </c>
      <c r="F16" s="19">
        <v>499893</v>
      </c>
      <c r="G16" s="19">
        <f>SUM(C16:F16)</f>
        <v>5636083</v>
      </c>
    </row>
    <row r="17" spans="2:8" x14ac:dyDescent="0.25">
      <c r="B17" s="69"/>
      <c r="C17" s="69"/>
      <c r="D17" s="69"/>
      <c r="E17" s="69"/>
      <c r="F17" s="69"/>
      <c r="G17" s="69"/>
    </row>
    <row r="18" spans="2:8" x14ac:dyDescent="0.25">
      <c r="B18" s="70" t="s">
        <v>15</v>
      </c>
      <c r="C18" s="71"/>
      <c r="D18" s="71"/>
      <c r="E18" s="71"/>
      <c r="F18" s="71"/>
      <c r="G18" s="72"/>
    </row>
    <row r="19" spans="2:8" x14ac:dyDescent="0.25">
      <c r="B19" s="14" t="s">
        <v>16</v>
      </c>
      <c r="C19" s="28">
        <v>3573</v>
      </c>
      <c r="D19" s="28">
        <v>4</v>
      </c>
      <c r="E19" s="17">
        <v>0</v>
      </c>
      <c r="F19" s="17">
        <v>0</v>
      </c>
      <c r="G19" s="17">
        <f>SUM(C19:F19)</f>
        <v>3577</v>
      </c>
    </row>
    <row r="20" spans="2:8" x14ac:dyDescent="0.25">
      <c r="B20" s="90"/>
      <c r="C20" s="90"/>
      <c r="D20" s="90"/>
      <c r="E20" s="90"/>
      <c r="F20" s="90"/>
      <c r="G20" s="90"/>
    </row>
    <row r="21" spans="2:8" x14ac:dyDescent="0.25">
      <c r="B21" s="18" t="s">
        <v>17</v>
      </c>
      <c r="C21" s="19">
        <f>+C19+C16</f>
        <v>3680886</v>
      </c>
      <c r="D21" s="19">
        <v>1167877</v>
      </c>
      <c r="E21" s="19">
        <f>+E19+E16</f>
        <v>291004</v>
      </c>
      <c r="F21" s="19">
        <f>F16</f>
        <v>499893</v>
      </c>
      <c r="G21" s="19">
        <f>SUM(C21:F21)</f>
        <v>5639660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18</v>
      </c>
      <c r="C23" s="9"/>
      <c r="D23" s="9"/>
      <c r="E23" s="9"/>
      <c r="F23" s="9"/>
      <c r="G23" s="10"/>
    </row>
    <row r="24" spans="2:8" x14ac:dyDescent="0.25">
      <c r="B24" s="18" t="s">
        <v>19</v>
      </c>
      <c r="C24" s="19">
        <v>400794</v>
      </c>
      <c r="D24" s="19">
        <v>200429</v>
      </c>
      <c r="E24" s="19">
        <v>130634</v>
      </c>
      <c r="F24" s="19">
        <v>673390</v>
      </c>
      <c r="G24" s="19">
        <f>SUM(C24:F24)</f>
        <v>1405247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20</v>
      </c>
      <c r="C26" s="9"/>
      <c r="D26" s="9"/>
      <c r="E26" s="9"/>
      <c r="F26" s="9"/>
      <c r="G26" s="10"/>
    </row>
    <row r="27" spans="2:8" x14ac:dyDescent="0.25">
      <c r="B27" s="18" t="s">
        <v>21</v>
      </c>
      <c r="C27" s="19">
        <f>+C24+C21</f>
        <v>4081680</v>
      </c>
      <c r="D27" s="19">
        <f>+D24+D21</f>
        <v>1368306</v>
      </c>
      <c r="E27" s="19">
        <f>+E21+E24</f>
        <v>421638</v>
      </c>
      <c r="F27" s="19">
        <f>+F24+F21</f>
        <v>1173283</v>
      </c>
      <c r="G27" s="19">
        <f>SUM(C27:F27)</f>
        <v>7044907</v>
      </c>
    </row>
    <row r="28" spans="2:8" x14ac:dyDescent="0.25">
      <c r="B28" s="69"/>
      <c r="C28" s="69"/>
      <c r="D28" s="69"/>
      <c r="E28" s="69"/>
      <c r="F28" s="69"/>
      <c r="G28" s="69"/>
      <c r="H28" s="69"/>
    </row>
    <row r="29" spans="2:8" x14ac:dyDescent="0.25">
      <c r="B29" s="74" t="s">
        <v>22</v>
      </c>
      <c r="C29" s="75"/>
      <c r="D29" s="75"/>
      <c r="E29" s="75"/>
      <c r="F29" s="75"/>
      <c r="G29" s="76"/>
    </row>
    <row r="30" spans="2:8" x14ac:dyDescent="0.25">
      <c r="B30" s="14" t="s">
        <v>23</v>
      </c>
      <c r="C30" s="28">
        <v>1229564</v>
      </c>
      <c r="D30" s="28">
        <v>189566</v>
      </c>
      <c r="E30" s="28">
        <v>90812</v>
      </c>
      <c r="F30" s="28">
        <v>202297</v>
      </c>
      <c r="G30" s="28">
        <f>SUM(C30:F30)</f>
        <v>1712239</v>
      </c>
    </row>
    <row r="31" spans="2:8" x14ac:dyDescent="0.25">
      <c r="B31" s="69"/>
      <c r="C31" s="69"/>
      <c r="D31" s="69"/>
      <c r="E31" s="69"/>
      <c r="F31" s="69"/>
      <c r="G31" s="69"/>
      <c r="H31" s="69"/>
    </row>
    <row r="32" spans="2:8" x14ac:dyDescent="0.25">
      <c r="B32" s="74" t="s">
        <v>107</v>
      </c>
      <c r="C32" s="75"/>
      <c r="D32" s="75"/>
      <c r="E32" s="75"/>
      <c r="F32" s="75"/>
      <c r="G32" s="76"/>
    </row>
    <row r="33" spans="2:9" x14ac:dyDescent="0.25">
      <c r="B33" s="14" t="s">
        <v>25</v>
      </c>
      <c r="C33" s="28">
        <v>3397689449778</v>
      </c>
      <c r="D33" s="28">
        <v>581357284178</v>
      </c>
      <c r="E33" s="28">
        <v>236236319418</v>
      </c>
      <c r="F33" s="28">
        <v>395408702863</v>
      </c>
      <c r="G33" s="28">
        <f>SUM(C33:F33)</f>
        <v>4610691756237</v>
      </c>
    </row>
    <row r="34" spans="2:9" x14ac:dyDescent="0.25">
      <c r="B34" s="14" t="s">
        <v>26</v>
      </c>
      <c r="C34" s="28">
        <v>148396066441</v>
      </c>
      <c r="D34" s="28">
        <v>63464007301</v>
      </c>
      <c r="E34" s="28">
        <v>36264957700</v>
      </c>
      <c r="F34" s="28">
        <v>188593642460</v>
      </c>
      <c r="G34" s="28">
        <f>SUM(C34:F34)</f>
        <v>436718673902</v>
      </c>
    </row>
    <row r="35" spans="2:9" x14ac:dyDescent="0.25">
      <c r="B35" s="46" t="s">
        <v>27</v>
      </c>
      <c r="C35" s="19">
        <f>SUM(C33:C34)</f>
        <v>3546085516219</v>
      </c>
      <c r="D35" s="19">
        <f>+D34+D33</f>
        <v>644821291479</v>
      </c>
      <c r="E35" s="19">
        <f>+E33+E34</f>
        <v>272501277118</v>
      </c>
      <c r="F35" s="19">
        <v>584002345323</v>
      </c>
      <c r="G35" s="47">
        <f>SUM(C35:F35)</f>
        <v>5047410430139</v>
      </c>
    </row>
    <row r="36" spans="2:9" x14ac:dyDescent="0.25">
      <c r="B36" s="85" t="s">
        <v>108</v>
      </c>
      <c r="C36" s="85"/>
      <c r="D36" s="85"/>
      <c r="E36" s="85"/>
      <c r="F36" s="85"/>
      <c r="G36" s="85"/>
      <c r="H36"/>
    </row>
    <row r="37" spans="2:9" x14ac:dyDescent="0.25">
      <c r="B37" s="45"/>
      <c r="C37" s="45"/>
      <c r="D37" s="45"/>
      <c r="E37" s="45"/>
      <c r="F37" s="45"/>
      <c r="G37" s="45"/>
      <c r="H37" s="45"/>
    </row>
    <row r="38" spans="2:9" ht="21" x14ac:dyDescent="0.35">
      <c r="B38" s="78" t="s">
        <v>28</v>
      </c>
      <c r="C38" s="79"/>
      <c r="D38" s="79"/>
      <c r="E38" s="79"/>
      <c r="F38" s="79"/>
      <c r="G38" s="80"/>
    </row>
    <row r="39" spans="2:9" x14ac:dyDescent="0.25">
      <c r="B39" s="74" t="s">
        <v>29</v>
      </c>
      <c r="C39" s="75"/>
      <c r="D39" s="75"/>
      <c r="E39" s="75"/>
      <c r="F39" s="75"/>
      <c r="G39" s="76"/>
    </row>
    <row r="40" spans="2:9" x14ac:dyDescent="0.25">
      <c r="B40" s="14" t="s">
        <v>30</v>
      </c>
      <c r="C40" s="12">
        <v>728624</v>
      </c>
      <c r="D40" s="12">
        <v>114877</v>
      </c>
      <c r="E40" s="12">
        <v>49447</v>
      </c>
      <c r="F40" s="28">
        <v>67647</v>
      </c>
      <c r="G40" s="28">
        <f>SUM(C40:F40)</f>
        <v>960595</v>
      </c>
      <c r="H40" s="7"/>
      <c r="I40" s="7"/>
    </row>
    <row r="41" spans="2:9" x14ac:dyDescent="0.25">
      <c r="B41" s="14" t="s">
        <v>31</v>
      </c>
      <c r="C41" s="12">
        <f>2271429897/1000000</f>
        <v>2271.429897</v>
      </c>
      <c r="D41" s="12">
        <v>865.14271799999995</v>
      </c>
      <c r="E41" s="12">
        <v>351</v>
      </c>
      <c r="F41" s="12">
        <v>400.642717</v>
      </c>
      <c r="G41" s="11">
        <f>SUM(C41:F41)</f>
        <v>3888.2153320000002</v>
      </c>
      <c r="H41" s="7"/>
      <c r="I41" s="7"/>
    </row>
    <row r="42" spans="2:9" x14ac:dyDescent="0.25">
      <c r="B42" s="69"/>
      <c r="C42" s="69"/>
      <c r="D42" s="69"/>
      <c r="E42" s="69"/>
      <c r="F42" s="69"/>
      <c r="G42" s="69"/>
      <c r="H42" s="69"/>
      <c r="I42" s="7"/>
    </row>
    <row r="43" spans="2:9" x14ac:dyDescent="0.25">
      <c r="B43" s="68" t="s">
        <v>109</v>
      </c>
      <c r="C43" s="68"/>
      <c r="D43" s="68"/>
      <c r="E43" s="68"/>
      <c r="F43" s="68"/>
      <c r="G43" s="68"/>
      <c r="I43" s="7"/>
    </row>
    <row r="44" spans="2:9" x14ac:dyDescent="0.25">
      <c r="B44" s="14" t="s">
        <v>111</v>
      </c>
      <c r="C44" s="12">
        <v>7</v>
      </c>
      <c r="D44" s="12">
        <v>6</v>
      </c>
      <c r="E44" s="12">
        <v>4</v>
      </c>
      <c r="F44" s="12">
        <v>5</v>
      </c>
      <c r="G44" s="28">
        <f>SUM(C44:F44)</f>
        <v>22</v>
      </c>
      <c r="H44" s="7"/>
      <c r="I44" s="7"/>
    </row>
    <row r="45" spans="2:9" x14ac:dyDescent="0.25">
      <c r="B45" s="14" t="s">
        <v>112</v>
      </c>
      <c r="C45" s="12">
        <f>4773919/1000000</f>
        <v>4.7739190000000002</v>
      </c>
      <c r="D45" s="12">
        <v>0.100565</v>
      </c>
      <c r="E45" s="12">
        <v>0.01</v>
      </c>
      <c r="F45" s="12">
        <v>0.121561</v>
      </c>
      <c r="G45" s="11">
        <f>SUM(C45:F45)</f>
        <v>5.0060449999999994</v>
      </c>
      <c r="H45" s="7"/>
      <c r="I45" s="7"/>
    </row>
    <row r="46" spans="2:9" x14ac:dyDescent="0.25">
      <c r="B46" s="69"/>
      <c r="C46" s="69"/>
      <c r="D46" s="69"/>
      <c r="E46" s="69"/>
      <c r="F46" s="69"/>
      <c r="G46" s="69"/>
      <c r="H46" s="69"/>
      <c r="I46" s="7"/>
    </row>
    <row r="47" spans="2:9" x14ac:dyDescent="0.25">
      <c r="B47" s="68" t="s">
        <v>110</v>
      </c>
      <c r="C47" s="68"/>
      <c r="D47" s="68"/>
      <c r="E47" s="68"/>
      <c r="F47" s="68"/>
      <c r="G47" s="68"/>
      <c r="I47" s="7"/>
    </row>
    <row r="48" spans="2:9" x14ac:dyDescent="0.25">
      <c r="B48" s="14" t="s">
        <v>113</v>
      </c>
      <c r="C48" s="12">
        <v>145080</v>
      </c>
      <c r="D48" s="12">
        <v>89134</v>
      </c>
      <c r="E48" s="12">
        <v>15378</v>
      </c>
      <c r="F48" s="12">
        <v>66996</v>
      </c>
      <c r="G48" s="28">
        <f>SUM(C48:F48)</f>
        <v>316588</v>
      </c>
      <c r="H48" s="7"/>
      <c r="I48" s="7"/>
    </row>
    <row r="49" spans="2:9" x14ac:dyDescent="0.25">
      <c r="B49" s="14" t="s">
        <v>114</v>
      </c>
      <c r="C49" s="12">
        <f>(82103321247+ 1542582356)/1000000</f>
        <v>83645.903602999999</v>
      </c>
      <c r="D49" s="12">
        <v>29265.1391</v>
      </c>
      <c r="E49" s="12">
        <v>10722.488837999999</v>
      </c>
      <c r="F49" s="12">
        <v>11570.228486</v>
      </c>
      <c r="G49" s="11">
        <f>SUM(C49:F49)</f>
        <v>135203.76002700001</v>
      </c>
      <c r="H49" s="7"/>
      <c r="I49" s="7"/>
    </row>
    <row r="50" spans="2:9" x14ac:dyDescent="0.25">
      <c r="B50" s="69"/>
      <c r="C50" s="69"/>
      <c r="D50" s="69"/>
      <c r="E50" s="69"/>
      <c r="F50" s="69"/>
      <c r="G50" s="69"/>
      <c r="H50" s="69"/>
    </row>
    <row r="51" spans="2:9" ht="21" x14ac:dyDescent="0.35">
      <c r="B51" s="78" t="s">
        <v>38</v>
      </c>
      <c r="C51" s="79"/>
      <c r="D51" s="79"/>
      <c r="E51" s="79"/>
      <c r="F51" s="79"/>
      <c r="G51" s="80"/>
    </row>
    <row r="52" spans="2:9" x14ac:dyDescent="0.25">
      <c r="B52" s="86"/>
      <c r="C52" s="86"/>
      <c r="D52" s="86"/>
      <c r="E52" s="86"/>
      <c r="F52" s="86"/>
      <c r="G52" s="86"/>
      <c r="H52" s="86"/>
    </row>
    <row r="53" spans="2:9" x14ac:dyDescent="0.25">
      <c r="B53" s="68" t="s">
        <v>39</v>
      </c>
      <c r="C53" s="68"/>
      <c r="D53" s="68"/>
      <c r="E53" s="68"/>
      <c r="F53" s="68"/>
      <c r="G53" s="68"/>
    </row>
    <row r="54" spans="2:9" x14ac:dyDescent="0.25">
      <c r="B54" s="73" t="s">
        <v>40</v>
      </c>
      <c r="C54" s="73"/>
      <c r="D54" s="73"/>
      <c r="E54" s="73"/>
      <c r="F54" s="73"/>
      <c r="G54" s="73"/>
    </row>
    <row r="55" spans="2:9" x14ac:dyDescent="0.25">
      <c r="B55" s="14" t="s">
        <v>41</v>
      </c>
      <c r="C55" s="12">
        <v>74321</v>
      </c>
      <c r="D55" s="12">
        <v>5059</v>
      </c>
      <c r="E55" s="12">
        <v>1508</v>
      </c>
      <c r="F55" s="12">
        <v>3773</v>
      </c>
      <c r="G55" s="28">
        <f t="shared" ref="G55:G71" si="0">SUM(C55:F55)</f>
        <v>84661</v>
      </c>
    </row>
    <row r="56" spans="2:9" x14ac:dyDescent="0.25">
      <c r="B56" s="14" t="s">
        <v>42</v>
      </c>
      <c r="C56" s="12">
        <v>72776.962459999995</v>
      </c>
      <c r="D56" s="12">
        <v>8448.9557260000001</v>
      </c>
      <c r="E56" s="12">
        <v>2578.4232590000001</v>
      </c>
      <c r="F56" s="12">
        <v>9048</v>
      </c>
      <c r="G56" s="28">
        <f t="shared" si="0"/>
        <v>92852.341444999998</v>
      </c>
    </row>
    <row r="57" spans="2:9" x14ac:dyDescent="0.25">
      <c r="B57" s="14" t="s">
        <v>43</v>
      </c>
      <c r="C57" s="12">
        <v>17.3878580751066</v>
      </c>
      <c r="D57" s="12">
        <v>40.277320708969611</v>
      </c>
      <c r="E57" s="12">
        <v>27</v>
      </c>
      <c r="F57" s="12">
        <v>32</v>
      </c>
      <c r="G57" s="28">
        <f>AVERAGE(C57:F57)</f>
        <v>29.166294696019051</v>
      </c>
    </row>
    <row r="58" spans="2:9" x14ac:dyDescent="0.25">
      <c r="B58" s="14" t="s">
        <v>44</v>
      </c>
      <c r="C58" s="12">
        <v>808645</v>
      </c>
      <c r="D58" s="12">
        <v>152913</v>
      </c>
      <c r="E58" s="12">
        <v>50218</v>
      </c>
      <c r="F58" s="12">
        <v>65285</v>
      </c>
      <c r="G58" s="28">
        <f t="shared" si="0"/>
        <v>1077061</v>
      </c>
    </row>
    <row r="59" spans="2:9" x14ac:dyDescent="0.25">
      <c r="B59" s="14" t="s">
        <v>115</v>
      </c>
      <c r="C59" s="12">
        <v>1678610.622641</v>
      </c>
      <c r="D59" s="12">
        <v>306068.47918700002</v>
      </c>
      <c r="E59" s="12">
        <v>107591.769657</v>
      </c>
      <c r="F59" s="12">
        <v>133605</v>
      </c>
      <c r="G59" s="11">
        <f t="shared" si="0"/>
        <v>2225875.871485</v>
      </c>
    </row>
    <row r="60" spans="2:9" x14ac:dyDescent="0.25">
      <c r="B60" s="73" t="s">
        <v>45</v>
      </c>
      <c r="C60" s="73"/>
      <c r="D60" s="73"/>
      <c r="E60" s="73"/>
      <c r="F60" s="73"/>
      <c r="G60" s="73"/>
    </row>
    <row r="61" spans="2:9" x14ac:dyDescent="0.25">
      <c r="B61" s="14" t="s">
        <v>41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42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43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44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115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3" t="s">
        <v>46</v>
      </c>
      <c r="C66" s="73"/>
      <c r="D66" s="73"/>
      <c r="E66" s="73"/>
      <c r="F66" s="73"/>
      <c r="G66" s="73"/>
    </row>
    <row r="67" spans="2:8" x14ac:dyDescent="0.25">
      <c r="B67" s="14" t="s">
        <v>41</v>
      </c>
      <c r="C67" s="29">
        <v>6945</v>
      </c>
      <c r="D67" s="29">
        <v>2019</v>
      </c>
      <c r="E67" s="29">
        <v>1026</v>
      </c>
      <c r="F67" s="29">
        <v>9200</v>
      </c>
      <c r="G67" s="28">
        <f t="shared" si="0"/>
        <v>19190</v>
      </c>
    </row>
    <row r="68" spans="2:8" x14ac:dyDescent="0.25">
      <c r="B68" s="14" t="s">
        <v>42</v>
      </c>
      <c r="C68" s="29">
        <v>6223.6520039999996</v>
      </c>
      <c r="D68" s="29">
        <v>2269.7951849999999</v>
      </c>
      <c r="E68" s="29">
        <v>1077.4869960000001</v>
      </c>
      <c r="F68" s="29">
        <v>11594</v>
      </c>
      <c r="G68" s="28">
        <f t="shared" si="0"/>
        <v>21164.934184999998</v>
      </c>
    </row>
    <row r="69" spans="2:8" x14ac:dyDescent="0.25">
      <c r="B69" s="14" t="s">
        <v>43</v>
      </c>
      <c r="C69" s="29">
        <v>41.542404607631397</v>
      </c>
      <c r="D69" s="29">
        <v>55.427861917083675</v>
      </c>
      <c r="E69" s="29">
        <v>51</v>
      </c>
      <c r="F69" s="28">
        <v>42</v>
      </c>
      <c r="G69" s="28">
        <f>AVERAGE(C69:F69)</f>
        <v>47.492566631178768</v>
      </c>
    </row>
    <row r="70" spans="2:8" x14ac:dyDescent="0.25">
      <c r="B70" s="14" t="s">
        <v>44</v>
      </c>
      <c r="C70" s="29">
        <v>107993</v>
      </c>
      <c r="D70" s="29">
        <v>84148</v>
      </c>
      <c r="E70" s="29">
        <v>53297</v>
      </c>
      <c r="F70" s="12">
        <v>233825</v>
      </c>
      <c r="G70" s="28">
        <f t="shared" si="0"/>
        <v>479263</v>
      </c>
    </row>
    <row r="71" spans="2:8" x14ac:dyDescent="0.25">
      <c r="B71" s="14" t="s">
        <v>115</v>
      </c>
      <c r="C71" s="29">
        <v>101814.249278</v>
      </c>
      <c r="D71" s="29">
        <v>86702.985109000001</v>
      </c>
      <c r="E71" s="29">
        <v>53052.719579999997</v>
      </c>
      <c r="F71" s="7">
        <v>194416</v>
      </c>
      <c r="G71" s="11">
        <f t="shared" si="0"/>
        <v>435985.95396700001</v>
      </c>
    </row>
    <row r="72" spans="2:8" x14ac:dyDescent="0.25">
      <c r="B72" s="82" t="s">
        <v>47</v>
      </c>
      <c r="C72" s="83"/>
      <c r="D72" s="83"/>
      <c r="E72" s="83"/>
      <c r="F72" s="83"/>
      <c r="G72" s="84"/>
    </row>
    <row r="73" spans="2:8" x14ac:dyDescent="0.25">
      <c r="B73" s="18" t="s">
        <v>116</v>
      </c>
      <c r="C73" s="19">
        <f>+C55+C67</f>
        <v>81266</v>
      </c>
      <c r="D73" s="19">
        <f>+D67+D61+D55</f>
        <v>7078</v>
      </c>
      <c r="E73" s="19">
        <f t="shared" ref="E73:E74" si="1">+E67+E61+E55</f>
        <v>2534</v>
      </c>
      <c r="F73" s="19">
        <f>+F55+F67</f>
        <v>12973</v>
      </c>
      <c r="G73" s="19">
        <f>SUM(C73:F73)</f>
        <v>103851</v>
      </c>
    </row>
    <row r="74" spans="2:8" x14ac:dyDescent="0.25">
      <c r="B74" s="18" t="s">
        <v>42</v>
      </c>
      <c r="C74" s="19">
        <f>+C56+C68</f>
        <v>79000.614463999998</v>
      </c>
      <c r="D74" s="19">
        <f t="shared" ref="D74:E77" si="2">+D68+D62+D56</f>
        <v>10718.750910999999</v>
      </c>
      <c r="E74" s="19">
        <f t="shared" si="1"/>
        <v>3655.9102550000002</v>
      </c>
      <c r="F74" s="19">
        <f>+F56+F68</f>
        <v>20642</v>
      </c>
      <c r="G74" s="22">
        <f>SUM(C74:F74)</f>
        <v>114017.27562999999</v>
      </c>
    </row>
    <row r="75" spans="2:8" x14ac:dyDescent="0.25">
      <c r="B75" s="18" t="s">
        <v>43</v>
      </c>
      <c r="C75" s="19">
        <v>19.0798498185517</v>
      </c>
      <c r="D75" s="19">
        <f>(+D57+D63+D69)/3</f>
        <v>31.901727542017763</v>
      </c>
      <c r="E75" s="19">
        <v>0</v>
      </c>
      <c r="F75" s="19">
        <f>(F57+F69)/2</f>
        <v>37</v>
      </c>
      <c r="G75" s="19">
        <f>AVERAGE(C75:F75)</f>
        <v>21.995394340142365</v>
      </c>
    </row>
    <row r="76" spans="2:8" x14ac:dyDescent="0.25">
      <c r="B76" s="18" t="s">
        <v>44</v>
      </c>
      <c r="C76" s="19">
        <f>+C58+C70</f>
        <v>916638</v>
      </c>
      <c r="D76" s="19">
        <f t="shared" si="2"/>
        <v>237061</v>
      </c>
      <c r="E76" s="19">
        <f t="shared" si="2"/>
        <v>103515</v>
      </c>
      <c r="F76" s="19">
        <f>+F58+F70</f>
        <v>299110</v>
      </c>
      <c r="G76" s="19">
        <f>SUM(C76:F76)</f>
        <v>1556324</v>
      </c>
    </row>
    <row r="77" spans="2:8" x14ac:dyDescent="0.25">
      <c r="B77" s="18" t="s">
        <v>115</v>
      </c>
      <c r="C77" s="19">
        <f>+C59+C71</f>
        <v>1780424.8719190001</v>
      </c>
      <c r="D77" s="19">
        <f>+D71+D65+D59</f>
        <v>392771.46429600002</v>
      </c>
      <c r="E77" s="19">
        <f t="shared" si="2"/>
        <v>160644.489237</v>
      </c>
      <c r="F77" s="19">
        <f>+F59+F71</f>
        <v>328021</v>
      </c>
      <c r="G77" s="22">
        <f>SUM(C77:F77)</f>
        <v>2661861.8254519999</v>
      </c>
    </row>
    <row r="78" spans="2:8" x14ac:dyDescent="0.25">
      <c r="B78" s="69"/>
      <c r="C78" s="69"/>
      <c r="D78" s="69"/>
      <c r="E78" s="69"/>
      <c r="F78" s="69"/>
      <c r="G78" s="69"/>
      <c r="H78" s="69"/>
    </row>
    <row r="79" spans="2:8" x14ac:dyDescent="0.25">
      <c r="B79" s="74" t="s">
        <v>48</v>
      </c>
      <c r="C79" s="75"/>
      <c r="D79" s="75"/>
      <c r="E79" s="75"/>
      <c r="F79" s="75"/>
      <c r="G79" s="76"/>
    </row>
    <row r="80" spans="2:8" x14ac:dyDescent="0.25">
      <c r="B80" s="70" t="s">
        <v>40</v>
      </c>
      <c r="C80" s="71"/>
      <c r="D80" s="71"/>
      <c r="E80" s="71"/>
      <c r="F80" s="71"/>
      <c r="G80" s="72"/>
    </row>
    <row r="81" spans="2:7" x14ac:dyDescent="0.25">
      <c r="B81" s="14" t="s">
        <v>41</v>
      </c>
      <c r="C81" s="24">
        <v>0</v>
      </c>
      <c r="D81" s="24">
        <v>0</v>
      </c>
      <c r="E81" s="24">
        <v>0</v>
      </c>
      <c r="F81" s="28">
        <v>0</v>
      </c>
      <c r="G81" s="20">
        <f>SUM(C81:F81)</f>
        <v>0</v>
      </c>
    </row>
    <row r="82" spans="2:7" x14ac:dyDescent="0.25">
      <c r="B82" s="14" t="s">
        <v>42</v>
      </c>
      <c r="C82" s="24">
        <v>0</v>
      </c>
      <c r="D82" s="24">
        <v>0</v>
      </c>
      <c r="E82" s="24">
        <v>0</v>
      </c>
      <c r="F82" s="28">
        <v>0</v>
      </c>
      <c r="G82" s="24">
        <f>SUM(C82:F82)</f>
        <v>0</v>
      </c>
    </row>
    <row r="83" spans="2:7" x14ac:dyDescent="0.25">
      <c r="B83" s="14" t="s">
        <v>43</v>
      </c>
      <c r="C83" s="24">
        <v>0</v>
      </c>
      <c r="D83" s="24">
        <v>0</v>
      </c>
      <c r="E83" s="24">
        <v>0</v>
      </c>
      <c r="F83" s="28">
        <v>0</v>
      </c>
      <c r="G83" s="24">
        <f>AVERAGE(C83:F83)</f>
        <v>0</v>
      </c>
    </row>
    <row r="84" spans="2:7" x14ac:dyDescent="0.25">
      <c r="B84" s="14" t="s">
        <v>44</v>
      </c>
      <c r="C84" s="24">
        <v>1032</v>
      </c>
      <c r="D84" s="24">
        <v>124</v>
      </c>
      <c r="E84" s="24">
        <v>6</v>
      </c>
      <c r="F84" s="24">
        <v>102</v>
      </c>
      <c r="G84" s="24">
        <f>SUM(C84:F84)</f>
        <v>1264</v>
      </c>
    </row>
    <row r="85" spans="2:7" x14ac:dyDescent="0.25">
      <c r="B85" s="14" t="s">
        <v>115</v>
      </c>
      <c r="C85" s="24">
        <v>21935.499468999998</v>
      </c>
      <c r="D85" s="24">
        <v>1530</v>
      </c>
      <c r="E85" s="24">
        <v>78</v>
      </c>
      <c r="F85" s="28">
        <v>1934.2560559999999</v>
      </c>
      <c r="G85" s="11">
        <f>SUM(C85:F85)</f>
        <v>25477.755524999997</v>
      </c>
    </row>
    <row r="86" spans="2:7" x14ac:dyDescent="0.25">
      <c r="B86" s="70" t="s">
        <v>45</v>
      </c>
      <c r="C86" s="71"/>
      <c r="D86" s="71"/>
      <c r="E86" s="71"/>
      <c r="F86" s="71"/>
      <c r="G86" s="72"/>
    </row>
    <row r="87" spans="2:7" x14ac:dyDescent="0.25">
      <c r="B87" s="14" t="s">
        <v>41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42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43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44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115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0" t="s">
        <v>46</v>
      </c>
      <c r="C92" s="71"/>
      <c r="D92" s="71"/>
      <c r="E92" s="71"/>
      <c r="F92" s="71"/>
      <c r="G92" s="72"/>
    </row>
    <row r="93" spans="2:7" x14ac:dyDescent="0.25">
      <c r="B93" s="14" t="s">
        <v>41</v>
      </c>
      <c r="C93" s="28">
        <v>0</v>
      </c>
      <c r="D93" s="28">
        <v>0</v>
      </c>
      <c r="E93" s="28">
        <v>0</v>
      </c>
      <c r="F93" s="28">
        <v>0</v>
      </c>
      <c r="G93" s="28">
        <f>SUM(C93:F93)</f>
        <v>0</v>
      </c>
    </row>
    <row r="94" spans="2:7" x14ac:dyDescent="0.25">
      <c r="B94" s="14" t="s">
        <v>42</v>
      </c>
      <c r="C94" s="28">
        <v>0</v>
      </c>
      <c r="D94" s="28">
        <v>0</v>
      </c>
      <c r="E94" s="28">
        <v>0</v>
      </c>
      <c r="F94" s="28">
        <v>0</v>
      </c>
      <c r="G94" s="28">
        <f>SUM(C94:F94)</f>
        <v>0</v>
      </c>
    </row>
    <row r="95" spans="2:7" x14ac:dyDescent="0.25">
      <c r="B95" s="14" t="s">
        <v>43</v>
      </c>
      <c r="C95" s="28">
        <v>0</v>
      </c>
      <c r="D95" s="28">
        <v>0</v>
      </c>
      <c r="E95" s="28">
        <v>0</v>
      </c>
      <c r="F95" s="28">
        <v>0</v>
      </c>
      <c r="G95" s="28">
        <f>AVERAGE(C95:F95)</f>
        <v>0</v>
      </c>
    </row>
    <row r="96" spans="2:7" x14ac:dyDescent="0.25">
      <c r="B96" s="14" t="s">
        <v>44</v>
      </c>
      <c r="C96" s="28">
        <v>12</v>
      </c>
      <c r="D96" s="28">
        <v>0</v>
      </c>
      <c r="E96" s="28">
        <v>0</v>
      </c>
      <c r="F96" s="28">
        <v>7</v>
      </c>
      <c r="G96" s="28">
        <f>SUM(C96:F96)</f>
        <v>19</v>
      </c>
    </row>
    <row r="97" spans="2:8" x14ac:dyDescent="0.25">
      <c r="B97" s="14" t="s">
        <v>115</v>
      </c>
      <c r="C97" s="28">
        <v>189.36229399999999</v>
      </c>
      <c r="D97" s="28">
        <v>0</v>
      </c>
      <c r="E97" s="28">
        <v>0</v>
      </c>
      <c r="F97" s="28">
        <v>90.602108000000001</v>
      </c>
      <c r="G97" s="11">
        <f>SUM(C97:F97)</f>
        <v>279.96440200000001</v>
      </c>
    </row>
    <row r="98" spans="2:8" x14ac:dyDescent="0.25">
      <c r="B98" s="82" t="s">
        <v>49</v>
      </c>
      <c r="C98" s="83"/>
      <c r="D98" s="83"/>
      <c r="E98" s="83"/>
      <c r="F98" s="83"/>
      <c r="G98" s="84"/>
    </row>
    <row r="99" spans="2:8" x14ac:dyDescent="0.25">
      <c r="B99" s="18" t="s">
        <v>41</v>
      </c>
      <c r="C99" s="19">
        <v>0</v>
      </c>
      <c r="D99" s="19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42</v>
      </c>
      <c r="C100" s="19">
        <v>0</v>
      </c>
      <c r="D100" s="19">
        <v>0</v>
      </c>
      <c r="E100" s="19">
        <v>0</v>
      </c>
      <c r="F100" s="19">
        <v>0</v>
      </c>
      <c r="G100" s="22">
        <f>SUM(C100:F100)</f>
        <v>0</v>
      </c>
    </row>
    <row r="101" spans="2:8" x14ac:dyDescent="0.25">
      <c r="B101" s="18" t="s">
        <v>43</v>
      </c>
      <c r="C101" s="19">
        <v>0</v>
      </c>
      <c r="D101" s="19">
        <v>0</v>
      </c>
      <c r="E101" s="19">
        <v>0</v>
      </c>
      <c r="F101" s="19">
        <v>0</v>
      </c>
      <c r="G101" s="19">
        <f>AVERAGE(C101:F101)</f>
        <v>0</v>
      </c>
    </row>
    <row r="102" spans="2:8" x14ac:dyDescent="0.25">
      <c r="B102" s="18" t="s">
        <v>44</v>
      </c>
      <c r="C102" s="19">
        <f>+C96+C84</f>
        <v>1044</v>
      </c>
      <c r="D102" s="19">
        <f t="shared" ref="D102:D103" si="3">+D96+D90+D84</f>
        <v>124</v>
      </c>
      <c r="E102" s="19">
        <f>+E84</f>
        <v>6</v>
      </c>
      <c r="F102" s="19">
        <f>+F96+F84</f>
        <v>109</v>
      </c>
      <c r="G102" s="19">
        <f>SUM(C102:F102)</f>
        <v>1283</v>
      </c>
    </row>
    <row r="103" spans="2:8" x14ac:dyDescent="0.25">
      <c r="B103" s="18" t="s">
        <v>115</v>
      </c>
      <c r="C103" s="19">
        <f>+C97+C85</f>
        <v>22124.861762999997</v>
      </c>
      <c r="D103" s="19">
        <f t="shared" si="3"/>
        <v>1530</v>
      </c>
      <c r="E103" s="19">
        <f>+E85</f>
        <v>78</v>
      </c>
      <c r="F103" s="19">
        <f>+F85+F97</f>
        <v>2024.858164</v>
      </c>
      <c r="G103" s="22">
        <f>SUM(C103:F103)</f>
        <v>25757.719926999998</v>
      </c>
    </row>
    <row r="104" spans="2:8" x14ac:dyDescent="0.25">
      <c r="B104" s="69"/>
      <c r="C104" s="69"/>
      <c r="D104" s="69"/>
      <c r="E104" s="69"/>
      <c r="F104" s="69"/>
      <c r="G104" s="69"/>
      <c r="H104" s="69"/>
    </row>
    <row r="105" spans="2:8" x14ac:dyDescent="0.25">
      <c r="B105" s="68" t="s">
        <v>50</v>
      </c>
      <c r="C105" s="68"/>
      <c r="D105" s="68"/>
      <c r="E105" s="68"/>
      <c r="F105" s="68"/>
      <c r="G105" s="68"/>
    </row>
    <row r="106" spans="2:8" x14ac:dyDescent="0.25">
      <c r="B106" s="73" t="s">
        <v>51</v>
      </c>
      <c r="C106" s="73"/>
      <c r="D106" s="73"/>
      <c r="E106" s="73"/>
      <c r="F106" s="73"/>
      <c r="G106" s="73"/>
    </row>
    <row r="107" spans="2:8" x14ac:dyDescent="0.25">
      <c r="B107" s="14" t="s">
        <v>52</v>
      </c>
      <c r="C107" s="13">
        <v>2.3653894222548546</v>
      </c>
      <c r="D107" s="13">
        <v>2.4477335800184852</v>
      </c>
      <c r="E107" s="31">
        <v>2.59</v>
      </c>
      <c r="F107" s="13">
        <v>2.4900000000000002</v>
      </c>
      <c r="G107" s="13">
        <f>AVERAGE(C107:F107)</f>
        <v>2.473280750568335</v>
      </c>
    </row>
    <row r="108" spans="2:8" x14ac:dyDescent="0.25">
      <c r="B108" s="14" t="s">
        <v>53</v>
      </c>
      <c r="C108" s="13">
        <v>1.8864459084604748</v>
      </c>
      <c r="D108" s="13">
        <v>2.4499999999999873</v>
      </c>
      <c r="E108" s="32">
        <v>2.56</v>
      </c>
      <c r="F108" s="13">
        <v>2.4900000000000002</v>
      </c>
      <c r="G108" s="13">
        <f>AVERAGE(C108:F108)</f>
        <v>2.3466114771151156</v>
      </c>
    </row>
    <row r="109" spans="2:8" x14ac:dyDescent="0.25">
      <c r="B109" s="14" t="s">
        <v>54</v>
      </c>
      <c r="C109" s="13">
        <v>1.9143402533426126</v>
      </c>
      <c r="D109" s="13">
        <v>2.6293642241379449</v>
      </c>
      <c r="E109" s="31">
        <v>2.65</v>
      </c>
      <c r="F109" s="13">
        <v>2.57</v>
      </c>
      <c r="G109" s="13">
        <f>AVERAGE(C109:F109)</f>
        <v>2.4409261193701393</v>
      </c>
    </row>
    <row r="110" spans="2:8" x14ac:dyDescent="0.25">
      <c r="B110" s="73" t="s">
        <v>55</v>
      </c>
      <c r="C110" s="73"/>
      <c r="D110" s="73"/>
      <c r="E110" s="73"/>
      <c r="F110" s="73"/>
      <c r="G110" s="73"/>
    </row>
    <row r="111" spans="2:8" x14ac:dyDescent="0.25">
      <c r="B111" s="14" t="s">
        <v>52</v>
      </c>
      <c r="C111" s="13">
        <v>1.68</v>
      </c>
      <c r="D111" s="13">
        <v>1.6</v>
      </c>
      <c r="E111" s="31">
        <v>2.14</v>
      </c>
      <c r="F111" s="13">
        <v>1.54</v>
      </c>
      <c r="G111" s="13">
        <f>AVERAGE(C111:F111)</f>
        <v>1.74</v>
      </c>
    </row>
    <row r="112" spans="2:8" x14ac:dyDescent="0.25">
      <c r="B112" s="14" t="s">
        <v>53</v>
      </c>
      <c r="C112" s="13">
        <v>1.6899999999999979</v>
      </c>
      <c r="D112" s="13">
        <v>2.1599999999999979</v>
      </c>
      <c r="E112" s="31">
        <v>2.16</v>
      </c>
      <c r="F112" s="13">
        <v>2.04</v>
      </c>
      <c r="G112" s="13">
        <f>AVERAGE(C112:F112)</f>
        <v>2.0124999999999993</v>
      </c>
    </row>
    <row r="113" spans="2:9" x14ac:dyDescent="0.25">
      <c r="B113" s="14" t="s">
        <v>54</v>
      </c>
      <c r="C113" s="13">
        <v>1.702187064445484</v>
      </c>
      <c r="D113" s="13">
        <v>2.1600000000000095</v>
      </c>
      <c r="E113" s="31">
        <v>2.19</v>
      </c>
      <c r="F113" s="31">
        <v>2.15</v>
      </c>
      <c r="G113" s="13">
        <f>AVERAGE(C113:F113)</f>
        <v>2.0505467661113732</v>
      </c>
    </row>
    <row r="114" spans="2:9" x14ac:dyDescent="0.25">
      <c r="B114" s="69"/>
      <c r="C114" s="69"/>
      <c r="D114" s="69"/>
      <c r="E114" s="69"/>
      <c r="F114" s="69"/>
      <c r="G114" s="69"/>
      <c r="H114" s="69"/>
      <c r="I114" s="69"/>
    </row>
    <row r="115" spans="2:9" x14ac:dyDescent="0.25">
      <c r="B115" s="73" t="s">
        <v>56</v>
      </c>
      <c r="C115" s="73"/>
      <c r="D115" s="73"/>
      <c r="E115" s="73"/>
      <c r="F115" s="73"/>
      <c r="G115" s="73"/>
    </row>
    <row r="116" spans="2:9" x14ac:dyDescent="0.25">
      <c r="B116" s="14" t="s">
        <v>52</v>
      </c>
      <c r="C116" s="13">
        <v>1.3457071069633952</v>
      </c>
      <c r="D116" s="13">
        <v>1.7899999999999974</v>
      </c>
      <c r="E116" s="32">
        <v>1.77</v>
      </c>
      <c r="F116" s="32">
        <v>1.77</v>
      </c>
      <c r="G116" s="13">
        <f>AVERAGE(C116:F116)</f>
        <v>1.668926776740848</v>
      </c>
    </row>
    <row r="117" spans="2:9" x14ac:dyDescent="0.25">
      <c r="B117" s="14" t="s">
        <v>53</v>
      </c>
      <c r="C117" s="13">
        <v>1.5179559748427487</v>
      </c>
      <c r="D117" s="13">
        <v>1.790000000000004</v>
      </c>
      <c r="E117" s="32">
        <v>1.77</v>
      </c>
      <c r="F117" s="32">
        <v>1.77</v>
      </c>
      <c r="G117" s="13">
        <f>AVERAGE(C117:F117)</f>
        <v>1.7119889937106882</v>
      </c>
    </row>
    <row r="118" spans="2:9" x14ac:dyDescent="0.25">
      <c r="B118" s="14" t="s">
        <v>54</v>
      </c>
      <c r="C118" s="13">
        <v>1.5755432003229854</v>
      </c>
      <c r="D118" s="13">
        <v>1.7899999999999687</v>
      </c>
      <c r="E118" s="32">
        <v>1.89</v>
      </c>
      <c r="F118" s="13">
        <v>1.790000000000004</v>
      </c>
      <c r="G118" s="13">
        <f>AVERAGE(C118:F118)</f>
        <v>1.7613858000807396</v>
      </c>
    </row>
    <row r="119" spans="2:9" x14ac:dyDescent="0.25">
      <c r="B119" s="70" t="s">
        <v>57</v>
      </c>
      <c r="C119" s="71"/>
      <c r="D119" s="71"/>
      <c r="E119" s="71"/>
      <c r="F119" s="71"/>
      <c r="G119" s="72"/>
    </row>
    <row r="120" spans="2:9" x14ac:dyDescent="0.25">
      <c r="B120" s="14" t="s">
        <v>52</v>
      </c>
      <c r="C120" s="13">
        <v>0</v>
      </c>
      <c r="D120" s="13">
        <v>1.43</v>
      </c>
      <c r="E120" s="31">
        <v>0</v>
      </c>
      <c r="F120" s="31">
        <v>0.39</v>
      </c>
      <c r="G120" s="13">
        <f>AVERAGE(C120:F120)</f>
        <v>0.45499999999999996</v>
      </c>
    </row>
    <row r="121" spans="2:9" x14ac:dyDescent="0.25">
      <c r="B121" s="14" t="s">
        <v>53</v>
      </c>
      <c r="C121" s="13">
        <v>1.34</v>
      </c>
      <c r="D121" s="13">
        <v>1.43</v>
      </c>
      <c r="E121" s="31">
        <v>0</v>
      </c>
      <c r="F121" s="13">
        <v>1.36</v>
      </c>
      <c r="G121" s="13">
        <f>AVERAGE(C121:F121)</f>
        <v>1.0325</v>
      </c>
    </row>
    <row r="122" spans="2:9" x14ac:dyDescent="0.25">
      <c r="B122" s="14" t="s">
        <v>54</v>
      </c>
      <c r="C122" s="13">
        <v>1.43</v>
      </c>
      <c r="D122" s="13">
        <v>1.43</v>
      </c>
      <c r="E122" s="31">
        <v>1.43</v>
      </c>
      <c r="F122" s="31">
        <v>1.43</v>
      </c>
      <c r="G122" s="13">
        <f>AVERAGE(C122:F122)</f>
        <v>1.43</v>
      </c>
    </row>
    <row r="123" spans="2:9" x14ac:dyDescent="0.25">
      <c r="B123" s="69"/>
      <c r="C123" s="69"/>
      <c r="D123" s="69"/>
      <c r="E123" s="69"/>
      <c r="F123" s="69"/>
      <c r="G123" s="69"/>
      <c r="H123" s="69"/>
    </row>
    <row r="124" spans="2:9" x14ac:dyDescent="0.25">
      <c r="B124" s="74" t="s">
        <v>58</v>
      </c>
      <c r="C124" s="75"/>
      <c r="D124" s="75"/>
      <c r="E124" s="75"/>
      <c r="F124" s="75"/>
      <c r="G124" s="76"/>
    </row>
    <row r="125" spans="2:9" x14ac:dyDescent="0.25">
      <c r="B125" s="2" t="s">
        <v>59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4" t="s">
        <v>60</v>
      </c>
      <c r="C126" s="75"/>
      <c r="D126" s="75"/>
      <c r="E126" s="75"/>
      <c r="F126" s="75"/>
      <c r="G126" s="76"/>
    </row>
    <row r="127" spans="2:9" x14ac:dyDescent="0.25">
      <c r="B127" s="3" t="s">
        <v>61</v>
      </c>
      <c r="C127" s="13">
        <v>1.5179559748427487</v>
      </c>
      <c r="D127" s="42">
        <v>0</v>
      </c>
      <c r="E127" s="34">
        <v>1.9639610000000001</v>
      </c>
      <c r="F127" s="4">
        <v>0</v>
      </c>
      <c r="G127" s="11">
        <f>AVERAGE(C127:E127)</f>
        <v>1.1606389916142497</v>
      </c>
    </row>
    <row r="128" spans="2:9" x14ac:dyDescent="0.25">
      <c r="B128" s="81"/>
      <c r="C128" s="81"/>
      <c r="D128" s="81"/>
      <c r="E128" s="81"/>
      <c r="F128" s="81"/>
      <c r="G128" s="81"/>
      <c r="H128" s="81"/>
    </row>
    <row r="129" spans="2:9" x14ac:dyDescent="0.25">
      <c r="B129" s="68" t="s">
        <v>62</v>
      </c>
      <c r="C129" s="68"/>
      <c r="D129" s="68"/>
      <c r="E129" s="68"/>
      <c r="F129" s="68"/>
      <c r="G129" s="68"/>
    </row>
    <row r="130" spans="2:9" x14ac:dyDescent="0.25">
      <c r="B130" s="14" t="s">
        <v>63</v>
      </c>
      <c r="C130" s="28">
        <v>265362</v>
      </c>
      <c r="D130" s="28">
        <v>3921</v>
      </c>
      <c r="E130" s="28">
        <v>8588</v>
      </c>
      <c r="F130" s="28">
        <v>825</v>
      </c>
      <c r="G130" s="28">
        <f>SUM(C130:F130)</f>
        <v>278696</v>
      </c>
    </row>
    <row r="131" spans="2:9" x14ac:dyDescent="0.25">
      <c r="B131" s="14" t="s">
        <v>64</v>
      </c>
      <c r="C131" s="28">
        <v>182527.00222900001</v>
      </c>
      <c r="D131" s="28">
        <v>3960.614971</v>
      </c>
      <c r="E131" s="28">
        <v>1208</v>
      </c>
      <c r="F131" s="28">
        <v>892.56417699999997</v>
      </c>
      <c r="G131" s="11">
        <f>SUM(C131:F131)</f>
        <v>188588.181377</v>
      </c>
    </row>
    <row r="132" spans="2:9" x14ac:dyDescent="0.25">
      <c r="B132" s="69"/>
      <c r="C132" s="69"/>
      <c r="D132" s="69"/>
      <c r="E132" s="69"/>
      <c r="F132" s="69"/>
      <c r="G132" s="69"/>
      <c r="H132" s="69"/>
    </row>
    <row r="133" spans="2:9" x14ac:dyDescent="0.25">
      <c r="B133" s="68" t="s">
        <v>65</v>
      </c>
      <c r="C133" s="68"/>
      <c r="D133" s="68"/>
      <c r="E133" s="68"/>
      <c r="F133" s="68"/>
      <c r="G133" s="68"/>
    </row>
    <row r="134" spans="2:9" x14ac:dyDescent="0.25">
      <c r="B134" s="14" t="s">
        <v>66</v>
      </c>
      <c r="C134" s="28">
        <v>490819</v>
      </c>
      <c r="D134" s="28">
        <v>373188</v>
      </c>
      <c r="E134" s="28">
        <f>91199+23682</f>
        <v>114881</v>
      </c>
      <c r="F134" s="28">
        <v>290470</v>
      </c>
      <c r="G134" s="28">
        <f>SUM(C134:F134)</f>
        <v>1269358</v>
      </c>
    </row>
    <row r="135" spans="2:9" x14ac:dyDescent="0.25">
      <c r="B135" s="69"/>
      <c r="C135" s="69"/>
      <c r="D135" s="69"/>
      <c r="E135" s="69"/>
      <c r="F135" s="69"/>
      <c r="G135" s="69"/>
      <c r="H135" s="69"/>
    </row>
    <row r="136" spans="2:9" ht="21" x14ac:dyDescent="0.35">
      <c r="B136" s="77" t="s">
        <v>67</v>
      </c>
      <c r="C136" s="77"/>
      <c r="D136" s="77"/>
      <c r="E136" s="77"/>
      <c r="F136" s="77"/>
      <c r="G136" s="77"/>
    </row>
    <row r="137" spans="2:9" x14ac:dyDescent="0.25">
      <c r="B137" s="68" t="s">
        <v>68</v>
      </c>
      <c r="C137" s="68"/>
      <c r="D137" s="68"/>
      <c r="E137" s="68"/>
      <c r="F137" s="68"/>
      <c r="G137" s="68"/>
    </row>
    <row r="138" spans="2:9" x14ac:dyDescent="0.25">
      <c r="B138" s="14" t="s">
        <v>69</v>
      </c>
      <c r="C138" s="28">
        <v>0</v>
      </c>
      <c r="D138" s="28">
        <v>4827</v>
      </c>
      <c r="E138" s="28">
        <v>0</v>
      </c>
      <c r="F138" s="28">
        <v>15660</v>
      </c>
      <c r="G138" s="28">
        <f>SUM(C138:F138)</f>
        <v>20487</v>
      </c>
      <c r="H138" s="7"/>
      <c r="I138" s="7"/>
    </row>
    <row r="139" spans="2:9" x14ac:dyDescent="0.25">
      <c r="B139" s="14" t="s">
        <v>70</v>
      </c>
      <c r="C139" s="28">
        <v>0</v>
      </c>
      <c r="D139" s="28">
        <v>3</v>
      </c>
      <c r="E139" s="28">
        <v>0</v>
      </c>
      <c r="F139" s="28">
        <v>179</v>
      </c>
      <c r="G139" s="28">
        <f>SUM(C139:F139)</f>
        <v>182</v>
      </c>
      <c r="H139" s="7"/>
      <c r="I139" s="7"/>
    </row>
    <row r="140" spans="2:9" x14ac:dyDescent="0.25">
      <c r="B140" s="69"/>
      <c r="C140" s="69"/>
      <c r="D140" s="69"/>
      <c r="E140" s="69"/>
      <c r="F140" s="69"/>
      <c r="G140" s="69"/>
      <c r="H140" s="69"/>
      <c r="I140" s="7"/>
    </row>
    <row r="141" spans="2:9" x14ac:dyDescent="0.25">
      <c r="B141" s="69"/>
      <c r="C141" s="69"/>
      <c r="D141" s="69"/>
      <c r="E141" s="69"/>
      <c r="F141" s="69"/>
      <c r="G141" s="69"/>
      <c r="H141" s="69"/>
    </row>
    <row r="142" spans="2:9" ht="21" x14ac:dyDescent="0.35">
      <c r="B142" s="78" t="s">
        <v>71</v>
      </c>
      <c r="C142" s="79"/>
      <c r="D142" s="79"/>
      <c r="E142" s="79"/>
      <c r="F142" s="79"/>
      <c r="G142" s="80"/>
    </row>
    <row r="143" spans="2:9" x14ac:dyDescent="0.25">
      <c r="B143" s="74" t="s">
        <v>72</v>
      </c>
      <c r="C143" s="75"/>
      <c r="D143" s="75"/>
      <c r="E143" s="75"/>
      <c r="F143" s="75"/>
      <c r="G143" s="76"/>
    </row>
    <row r="144" spans="2:9" x14ac:dyDescent="0.25">
      <c r="B144" s="69"/>
      <c r="C144" s="69"/>
      <c r="D144" s="69"/>
      <c r="E144" s="69"/>
      <c r="F144" s="69"/>
      <c r="G144" s="69"/>
      <c r="H144" s="69"/>
    </row>
    <row r="145" spans="2:8" x14ac:dyDescent="0.25">
      <c r="B145" s="73" t="s">
        <v>73</v>
      </c>
      <c r="C145" s="73"/>
      <c r="D145" s="73"/>
      <c r="E145" s="73"/>
      <c r="F145" s="73"/>
      <c r="G145" s="73"/>
    </row>
    <row r="146" spans="2:8" x14ac:dyDescent="0.25">
      <c r="B146" s="14" t="s">
        <v>74</v>
      </c>
      <c r="C146" s="28">
        <v>0</v>
      </c>
      <c r="D146" s="28">
        <v>1000</v>
      </c>
      <c r="E146" s="28">
        <v>0</v>
      </c>
      <c r="F146" s="28">
        <v>6136</v>
      </c>
      <c r="G146" s="28">
        <f>SUM(C146:F146)</f>
        <v>7136</v>
      </c>
    </row>
    <row r="147" spans="2:8" x14ac:dyDescent="0.25">
      <c r="B147" s="14" t="s">
        <v>75</v>
      </c>
      <c r="C147" s="28">
        <v>0</v>
      </c>
      <c r="D147" s="28">
        <v>21.841999999999999</v>
      </c>
      <c r="E147" s="28">
        <v>0</v>
      </c>
      <c r="F147" s="28">
        <v>135.62674999999999</v>
      </c>
      <c r="G147" s="11">
        <f>SUM(C147:F147)</f>
        <v>157.46875</v>
      </c>
    </row>
    <row r="148" spans="2:8" x14ac:dyDescent="0.25">
      <c r="B148" s="69"/>
      <c r="C148" s="69"/>
      <c r="D148" s="69"/>
      <c r="E148" s="69"/>
      <c r="F148" s="69"/>
      <c r="G148" s="69"/>
      <c r="H148" s="69"/>
    </row>
    <row r="149" spans="2:8" x14ac:dyDescent="0.25">
      <c r="B149" s="73" t="s">
        <v>76</v>
      </c>
      <c r="C149" s="73"/>
      <c r="D149" s="73"/>
      <c r="E149" s="73"/>
      <c r="F149" s="73"/>
      <c r="G149" s="73"/>
    </row>
    <row r="150" spans="2:8" x14ac:dyDescent="0.25">
      <c r="B150" s="14" t="s">
        <v>77</v>
      </c>
      <c r="C150" s="28">
        <v>0</v>
      </c>
      <c r="D150" s="28">
        <v>0</v>
      </c>
      <c r="E150" s="28">
        <v>5</v>
      </c>
      <c r="F150" s="28">
        <v>0</v>
      </c>
      <c r="G150" s="28">
        <f>SUM(C150:F150)</f>
        <v>5</v>
      </c>
      <c r="H150"/>
    </row>
    <row r="151" spans="2:8" x14ac:dyDescent="0.25">
      <c r="B151" s="14" t="s">
        <v>78</v>
      </c>
      <c r="C151" s="28">
        <v>0</v>
      </c>
      <c r="D151" s="28">
        <v>0.12</v>
      </c>
      <c r="E151" s="53">
        <f>136000/1000000</f>
        <v>0.13600000000000001</v>
      </c>
      <c r="F151" s="28">
        <v>0</v>
      </c>
      <c r="G151" s="11">
        <f>SUM(C151:F151)</f>
        <v>0.25600000000000001</v>
      </c>
      <c r="H151"/>
    </row>
    <row r="152" spans="2:8" x14ac:dyDescent="0.25">
      <c r="B152" s="69"/>
      <c r="C152" s="69"/>
      <c r="D152" s="69"/>
      <c r="E152" s="69"/>
      <c r="F152" s="69"/>
      <c r="G152" s="69"/>
      <c r="H152" s="69"/>
    </row>
    <row r="153" spans="2:8" x14ac:dyDescent="0.25">
      <c r="B153" s="73" t="s">
        <v>79</v>
      </c>
      <c r="C153" s="73"/>
      <c r="D153" s="73"/>
      <c r="E153" s="73"/>
      <c r="F153" s="73"/>
      <c r="G153" s="73"/>
    </row>
    <row r="154" spans="2:8" x14ac:dyDescent="0.25">
      <c r="B154" s="14" t="s">
        <v>80</v>
      </c>
      <c r="C154" s="28">
        <v>0</v>
      </c>
      <c r="D154" s="28">
        <v>302</v>
      </c>
      <c r="E154" s="28">
        <v>0</v>
      </c>
      <c r="F154" s="28">
        <v>5641</v>
      </c>
      <c r="G154" s="28">
        <f>SUM(C154:F154)</f>
        <v>5943</v>
      </c>
      <c r="H154"/>
    </row>
    <row r="155" spans="2:8" x14ac:dyDescent="0.25">
      <c r="B155" s="14" t="s">
        <v>81</v>
      </c>
      <c r="C155" s="28">
        <v>0</v>
      </c>
      <c r="D155" s="28">
        <v>4.04</v>
      </c>
      <c r="E155" s="28">
        <v>0</v>
      </c>
      <c r="F155" s="28">
        <v>129.78899999999999</v>
      </c>
      <c r="G155" s="11">
        <f>SUM(C155:F155)</f>
        <v>133.82899999999998</v>
      </c>
      <c r="H155"/>
    </row>
    <row r="156" spans="2:8" x14ac:dyDescent="0.25">
      <c r="B156" s="69"/>
      <c r="C156" s="69"/>
      <c r="D156" s="69"/>
      <c r="E156" s="69"/>
      <c r="F156" s="69"/>
      <c r="G156" s="69"/>
      <c r="H156" s="69"/>
    </row>
    <row r="157" spans="2:8" x14ac:dyDescent="0.25">
      <c r="B157" s="70" t="s">
        <v>82</v>
      </c>
      <c r="C157" s="71"/>
      <c r="D157" s="71"/>
      <c r="E157" s="71"/>
      <c r="F157" s="71"/>
      <c r="G157" s="72"/>
    </row>
    <row r="158" spans="2:8" x14ac:dyDescent="0.25">
      <c r="B158" s="18" t="s">
        <v>83</v>
      </c>
      <c r="C158" s="19">
        <v>0</v>
      </c>
      <c r="D158" s="19">
        <f>D146+D150+D154</f>
        <v>1302</v>
      </c>
      <c r="E158" s="19">
        <f>+E154+E150+E146</f>
        <v>5</v>
      </c>
      <c r="F158" s="19">
        <f>F146+F154</f>
        <v>11777</v>
      </c>
      <c r="G158" s="19">
        <f>SUM(C158:F158)</f>
        <v>13084</v>
      </c>
    </row>
    <row r="159" spans="2:8" x14ac:dyDescent="0.25">
      <c r="B159" s="18" t="s">
        <v>84</v>
      </c>
      <c r="C159" s="19">
        <v>0</v>
      </c>
      <c r="D159" s="19">
        <f>D147+D151+D155</f>
        <v>26.001999999999999</v>
      </c>
      <c r="E159" s="19">
        <f>+E155+E151+E147</f>
        <v>0.13600000000000001</v>
      </c>
      <c r="F159" s="19">
        <f>F147+F155</f>
        <v>265.41575</v>
      </c>
      <c r="G159" s="22">
        <f>SUM(C159:F159)</f>
        <v>291.55374999999998</v>
      </c>
    </row>
    <row r="160" spans="2:8" x14ac:dyDescent="0.25">
      <c r="B160" s="69"/>
      <c r="C160" s="69"/>
      <c r="D160" s="69"/>
      <c r="E160" s="69"/>
      <c r="F160" s="69"/>
      <c r="G160" s="69"/>
      <c r="H160" s="69"/>
    </row>
    <row r="161" spans="2:8" x14ac:dyDescent="0.25">
      <c r="B161" s="68" t="s">
        <v>85</v>
      </c>
      <c r="C161" s="68"/>
      <c r="D161" s="68"/>
      <c r="E161" s="68"/>
      <c r="F161" s="68"/>
      <c r="G161" s="68"/>
    </row>
    <row r="162" spans="2:8" x14ac:dyDescent="0.25">
      <c r="B162" s="14" t="s">
        <v>80</v>
      </c>
      <c r="C162" s="28">
        <v>3556</v>
      </c>
      <c r="D162" s="28">
        <v>42239</v>
      </c>
      <c r="E162" s="28">
        <v>4174</v>
      </c>
      <c r="F162" s="28">
        <v>21602</v>
      </c>
      <c r="G162" s="28">
        <f>SUM(C162:F162)</f>
        <v>71571</v>
      </c>
    </row>
    <row r="163" spans="2:8" x14ac:dyDescent="0.25">
      <c r="B163" s="14" t="s">
        <v>81</v>
      </c>
      <c r="C163" s="28">
        <f>87499252/1000000</f>
        <v>87.499251999999998</v>
      </c>
      <c r="D163" s="28">
        <v>222.377286</v>
      </c>
      <c r="E163" s="28">
        <f>65128661/1000000</f>
        <v>65.128660999999994</v>
      </c>
      <c r="F163" s="28">
        <v>129.44647900000001</v>
      </c>
      <c r="G163" s="11">
        <f>SUM(C163:F163)</f>
        <v>504.45167799999996</v>
      </c>
    </row>
    <row r="164" spans="2:8" x14ac:dyDescent="0.25">
      <c r="B164" s="69"/>
      <c r="C164" s="69"/>
      <c r="D164" s="69"/>
      <c r="E164" s="69"/>
      <c r="F164" s="69"/>
      <c r="G164" s="69"/>
    </row>
    <row r="165" spans="2:8" x14ac:dyDescent="0.25">
      <c r="B165" s="74" t="s">
        <v>86</v>
      </c>
      <c r="C165" s="75"/>
      <c r="D165" s="75"/>
      <c r="E165" s="75"/>
      <c r="F165" s="75"/>
      <c r="G165" s="76"/>
    </row>
    <row r="166" spans="2:8" x14ac:dyDescent="0.25">
      <c r="B166" s="70" t="s">
        <v>87</v>
      </c>
      <c r="C166" s="71"/>
      <c r="D166" s="71"/>
      <c r="E166" s="71"/>
      <c r="F166" s="71"/>
      <c r="G166" s="72"/>
    </row>
    <row r="167" spans="2:8" x14ac:dyDescent="0.25">
      <c r="B167" s="14" t="s">
        <v>88</v>
      </c>
      <c r="C167" s="28">
        <v>272</v>
      </c>
      <c r="D167" s="28">
        <v>2835</v>
      </c>
      <c r="E167" s="28">
        <v>520</v>
      </c>
      <c r="F167" s="28">
        <v>459</v>
      </c>
      <c r="G167" s="28">
        <f>SUM(C167:F167)</f>
        <v>4086</v>
      </c>
    </row>
    <row r="168" spans="2:8" x14ac:dyDescent="0.25">
      <c r="B168" s="14" t="s">
        <v>89</v>
      </c>
      <c r="C168" s="28">
        <f>6800000/1000000</f>
        <v>6.8</v>
      </c>
      <c r="D168" s="28">
        <v>64.586140999999998</v>
      </c>
      <c r="E168" s="28">
        <f>8650000/1000000</f>
        <v>8.65</v>
      </c>
      <c r="F168" s="28">
        <v>16.635000000000002</v>
      </c>
      <c r="G168" s="11">
        <f>SUM(C168:F168)</f>
        <v>96.671141000000006</v>
      </c>
    </row>
    <row r="169" spans="2:8" x14ac:dyDescent="0.25">
      <c r="B169" s="69"/>
      <c r="C169" s="69"/>
      <c r="D169" s="69"/>
      <c r="E169" s="69"/>
      <c r="F169" s="69"/>
      <c r="G169" s="69"/>
    </row>
    <row r="170" spans="2:8" x14ac:dyDescent="0.25">
      <c r="B170" s="70" t="s">
        <v>90</v>
      </c>
      <c r="C170" s="71"/>
      <c r="D170" s="71"/>
      <c r="E170" s="71"/>
      <c r="F170" s="71"/>
      <c r="G170" s="72"/>
    </row>
    <row r="171" spans="2:8" x14ac:dyDescent="0.25">
      <c r="B171" s="14" t="s">
        <v>91</v>
      </c>
      <c r="C171" s="28">
        <v>1607</v>
      </c>
      <c r="D171" s="28">
        <v>568</v>
      </c>
      <c r="E171" s="28">
        <v>119</v>
      </c>
      <c r="F171" s="28">
        <v>403</v>
      </c>
      <c r="G171" s="28">
        <f>SUM(C171:F171)</f>
        <v>2697</v>
      </c>
    </row>
    <row r="172" spans="2:8" x14ac:dyDescent="0.25">
      <c r="B172" s="14" t="s">
        <v>89</v>
      </c>
      <c r="C172" s="28">
        <f>35354000/1000000</f>
        <v>35.353999999999999</v>
      </c>
      <c r="D172" s="28">
        <v>11.928000000000001</v>
      </c>
      <c r="E172" s="28">
        <f>2975000/1000000</f>
        <v>2.9750000000000001</v>
      </c>
      <c r="F172" s="28">
        <v>8.8239999999999998</v>
      </c>
      <c r="G172" s="11">
        <f>SUM(C172:F172)</f>
        <v>59.080999999999996</v>
      </c>
    </row>
    <row r="173" spans="2:8" x14ac:dyDescent="0.25">
      <c r="B173" s="69"/>
      <c r="C173" s="69"/>
      <c r="D173" s="69"/>
      <c r="E173" s="69"/>
      <c r="F173" s="69"/>
      <c r="G173" s="69"/>
      <c r="H173" s="69"/>
    </row>
    <row r="174" spans="2:8" x14ac:dyDescent="0.25">
      <c r="B174" s="70" t="s">
        <v>92</v>
      </c>
      <c r="C174" s="71"/>
      <c r="D174" s="71"/>
      <c r="E174" s="71"/>
      <c r="F174" s="71"/>
      <c r="G174" s="72"/>
    </row>
    <row r="175" spans="2:8" x14ac:dyDescent="0.25">
      <c r="B175" s="14" t="s">
        <v>91</v>
      </c>
      <c r="C175" s="28">
        <v>370</v>
      </c>
      <c r="D175" s="28">
        <v>313</v>
      </c>
      <c r="E175" s="28">
        <v>206</v>
      </c>
      <c r="F175" s="28">
        <v>47</v>
      </c>
      <c r="G175" s="28">
        <f>SUM(C175:F175)</f>
        <v>936</v>
      </c>
    </row>
    <row r="176" spans="2:8" x14ac:dyDescent="0.25">
      <c r="B176" s="14" t="s">
        <v>89</v>
      </c>
      <c r="C176" s="28">
        <f>25900000/1000000</f>
        <v>25.9</v>
      </c>
      <c r="D176" s="28">
        <v>32.54</v>
      </c>
      <c r="E176" s="28">
        <f>11618015/1000000</f>
        <v>11.618015</v>
      </c>
      <c r="F176" s="28">
        <v>4.79</v>
      </c>
      <c r="G176" s="11">
        <f>SUM(C176:F176)</f>
        <v>74.848015000000004</v>
      </c>
    </row>
    <row r="177" spans="2:8" x14ac:dyDescent="0.25">
      <c r="B177" s="69"/>
      <c r="C177" s="69"/>
      <c r="D177" s="69"/>
      <c r="E177" s="69"/>
      <c r="F177" s="69"/>
      <c r="G177" s="69"/>
      <c r="H177" s="69"/>
    </row>
    <row r="178" spans="2:8" x14ac:dyDescent="0.25">
      <c r="B178" s="70" t="s">
        <v>93</v>
      </c>
      <c r="C178" s="71"/>
      <c r="D178" s="71"/>
      <c r="E178" s="71"/>
      <c r="F178" s="71"/>
      <c r="G178" s="72"/>
    </row>
    <row r="179" spans="2:8" x14ac:dyDescent="0.25">
      <c r="B179" s="14" t="s">
        <v>91</v>
      </c>
      <c r="C179" s="28">
        <v>289</v>
      </c>
      <c r="D179" s="28">
        <v>206568</v>
      </c>
      <c r="E179" s="28">
        <v>0</v>
      </c>
      <c r="F179" s="28">
        <v>0</v>
      </c>
      <c r="G179" s="28">
        <f>SUM(C179:F179)</f>
        <v>206857</v>
      </c>
    </row>
    <row r="180" spans="2:8" x14ac:dyDescent="0.25">
      <c r="B180" s="14" t="s">
        <v>89</v>
      </c>
      <c r="C180" s="28">
        <f>8920000/1000000</f>
        <v>8.92</v>
      </c>
      <c r="D180" s="28">
        <v>2878.4219235734354</v>
      </c>
      <c r="E180" s="28">
        <v>0</v>
      </c>
      <c r="F180" s="28">
        <v>0</v>
      </c>
      <c r="G180" s="11">
        <f>SUM(C180:F180)</f>
        <v>2887.3419235734355</v>
      </c>
    </row>
    <row r="181" spans="2:8" x14ac:dyDescent="0.25">
      <c r="B181" s="69"/>
      <c r="C181" s="69"/>
      <c r="D181" s="69"/>
      <c r="E181" s="69"/>
      <c r="F181" s="69"/>
      <c r="G181" s="69"/>
      <c r="H181" s="69"/>
    </row>
    <row r="182" spans="2:8" x14ac:dyDescent="0.25">
      <c r="B182" s="68" t="s">
        <v>94</v>
      </c>
      <c r="C182" s="68"/>
      <c r="D182" s="68"/>
      <c r="E182" s="68"/>
      <c r="F182" s="68"/>
      <c r="G182" s="68"/>
    </row>
    <row r="183" spans="2:8" x14ac:dyDescent="0.25">
      <c r="B183" s="18" t="s">
        <v>95</v>
      </c>
      <c r="C183" s="19">
        <f>+C179+C175+C171+C167</f>
        <v>2538</v>
      </c>
      <c r="D183" s="19">
        <f>D167+D171+D175+D179</f>
        <v>210284</v>
      </c>
      <c r="E183" s="19">
        <f t="shared" ref="E183:E184" si="4">+E179+E175+E171+E167</f>
        <v>845</v>
      </c>
      <c r="F183" s="19">
        <f>+F179+F175+F171+F167</f>
        <v>909</v>
      </c>
      <c r="G183" s="19">
        <f>SUM(C183:F183)</f>
        <v>214576</v>
      </c>
    </row>
    <row r="184" spans="2:8" x14ac:dyDescent="0.25">
      <c r="B184" s="18" t="s">
        <v>96</v>
      </c>
      <c r="C184" s="19">
        <f>+C180+C176+C172+C168</f>
        <v>76.974000000000004</v>
      </c>
      <c r="D184" s="19">
        <f>D168+D172+D176+D180</f>
        <v>2987.4760645734355</v>
      </c>
      <c r="E184" s="19">
        <f t="shared" si="4"/>
        <v>23.243015</v>
      </c>
      <c r="F184" s="19">
        <f>+F180+F176+F172+F168</f>
        <v>30.249000000000002</v>
      </c>
      <c r="G184" s="22">
        <f>SUM(C184:F184)</f>
        <v>3117.9420795734354</v>
      </c>
    </row>
    <row r="185" spans="2:8" x14ac:dyDescent="0.25">
      <c r="B185" s="69"/>
      <c r="C185" s="69"/>
      <c r="D185" s="69"/>
      <c r="E185" s="69"/>
      <c r="F185" s="69"/>
      <c r="G185" s="69"/>
      <c r="H185" s="69"/>
    </row>
    <row r="186" spans="2:8" x14ac:dyDescent="0.25">
      <c r="B186" s="68" t="s">
        <v>97</v>
      </c>
      <c r="C186" s="68"/>
      <c r="D186" s="68"/>
      <c r="E186" s="68"/>
      <c r="F186" s="68"/>
      <c r="G186" s="68"/>
    </row>
    <row r="187" spans="2:8" x14ac:dyDescent="0.25">
      <c r="B187" s="14" t="s">
        <v>98</v>
      </c>
      <c r="C187" s="28">
        <v>7587</v>
      </c>
      <c r="D187" s="28">
        <v>2307</v>
      </c>
      <c r="E187" s="28">
        <v>49</v>
      </c>
      <c r="F187" s="28">
        <v>34288</v>
      </c>
      <c r="G187" s="28">
        <f>SUM(C187:F187)</f>
        <v>44231</v>
      </c>
    </row>
    <row r="188" spans="2:8" x14ac:dyDescent="0.25">
      <c r="B188" s="14" t="s">
        <v>99</v>
      </c>
      <c r="C188" s="28">
        <f>60708873/1000000</f>
        <v>60.708872999999997</v>
      </c>
      <c r="D188" s="28">
        <v>64.158443000000005</v>
      </c>
      <c r="E188" s="28">
        <f>2000000/1000000</f>
        <v>2</v>
      </c>
      <c r="F188" s="28">
        <v>425.11122899999998</v>
      </c>
      <c r="G188" s="11">
        <f>SUM(C188:F188)</f>
        <v>551.97854499999994</v>
      </c>
    </row>
    <row r="189" spans="2:8" x14ac:dyDescent="0.25">
      <c r="B189" s="69"/>
      <c r="C189" s="69"/>
      <c r="D189" s="69"/>
      <c r="E189" s="69"/>
      <c r="F189" s="69"/>
      <c r="G189" s="69"/>
      <c r="H189" s="69"/>
    </row>
    <row r="190" spans="2:8" x14ac:dyDescent="0.25">
      <c r="B190" s="68" t="s">
        <v>100</v>
      </c>
      <c r="C190" s="68"/>
      <c r="D190" s="68"/>
      <c r="E190" s="68"/>
      <c r="F190" s="68"/>
      <c r="G190" s="68"/>
    </row>
    <row r="191" spans="2:8" x14ac:dyDescent="0.25">
      <c r="B191" s="18" t="s">
        <v>101</v>
      </c>
      <c r="C191" s="19">
        <f>C187+C162+C183</f>
        <v>13681</v>
      </c>
      <c r="D191" s="19">
        <f>+D187+D183+D162+D158</f>
        <v>256132</v>
      </c>
      <c r="E191" s="19">
        <f t="shared" ref="E191:E192" si="5">+E187+E183+E162+E158</f>
        <v>5073</v>
      </c>
      <c r="F191" s="19">
        <f>F158+F162+F183+F187</f>
        <v>68576</v>
      </c>
      <c r="G191" s="19">
        <f>SUM(C191:F191)</f>
        <v>343462</v>
      </c>
    </row>
    <row r="192" spans="2:8" x14ac:dyDescent="0.25">
      <c r="B192" s="18" t="s">
        <v>102</v>
      </c>
      <c r="C192" s="19">
        <f>C188+C163+C184</f>
        <v>225.18212499999998</v>
      </c>
      <c r="D192" s="19">
        <f>+D188+D184+D163+D159</f>
        <v>3300.0137935734351</v>
      </c>
      <c r="E192" s="19">
        <f t="shared" si="5"/>
        <v>90.507675999999989</v>
      </c>
      <c r="F192" s="19">
        <f>F159+F184+F163+F188</f>
        <v>850.22245799999996</v>
      </c>
      <c r="G192" s="22">
        <f>SUM(C192:F192)</f>
        <v>4465.9260525734353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G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95"/>
  <sheetViews>
    <sheetView topLeftCell="B1" zoomScaleNormal="100" workbookViewId="0">
      <selection activeCell="B3" sqref="B3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3" width="17.42578125" bestFit="1" customWidth="1"/>
    <col min="4" max="4" width="16.42578125" bestFit="1" customWidth="1"/>
    <col min="5" max="5" width="16.28515625" bestFit="1" customWidth="1"/>
    <col min="6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87" t="s">
        <v>1</v>
      </c>
      <c r="D2" s="88"/>
      <c r="E2" s="88"/>
      <c r="F2" s="88"/>
      <c r="G2" s="89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78" t="s">
        <v>7</v>
      </c>
      <c r="C4" s="79"/>
      <c r="D4" s="79"/>
      <c r="E4" s="79"/>
      <c r="F4" s="79"/>
      <c r="G4" s="80"/>
    </row>
    <row r="5" spans="1:7" x14ac:dyDescent="0.25">
      <c r="B5" s="74" t="s">
        <v>103</v>
      </c>
      <c r="C5" s="75"/>
      <c r="D5" s="75"/>
      <c r="E5" s="75"/>
      <c r="F5" s="75"/>
      <c r="G5" s="76"/>
    </row>
    <row r="6" spans="1:7" x14ac:dyDescent="0.25">
      <c r="B6" s="4" t="s">
        <v>104</v>
      </c>
      <c r="C6" s="12">
        <v>55065</v>
      </c>
      <c r="D6" s="12">
        <v>8225</v>
      </c>
      <c r="E6" s="12">
        <v>9009</v>
      </c>
      <c r="F6" s="12">
        <v>10410</v>
      </c>
      <c r="G6" s="12">
        <f>+F6+E6+D6+C6</f>
        <v>82709</v>
      </c>
    </row>
    <row r="7" spans="1:7" x14ac:dyDescent="0.25">
      <c r="B7" s="14" t="s">
        <v>105</v>
      </c>
      <c r="C7" s="12">
        <v>519</v>
      </c>
      <c r="D7" s="12">
        <v>223</v>
      </c>
      <c r="E7" s="12">
        <v>12</v>
      </c>
      <c r="F7" s="12">
        <v>145</v>
      </c>
      <c r="G7" s="12">
        <f>+F7+E7+D7+C7</f>
        <v>899</v>
      </c>
    </row>
    <row r="8" spans="1:7" x14ac:dyDescent="0.25">
      <c r="B8" s="18" t="s">
        <v>106</v>
      </c>
      <c r="C8" s="25">
        <v>55584</v>
      </c>
      <c r="D8" s="25">
        <v>8448</v>
      </c>
      <c r="E8" s="25">
        <v>9021</v>
      </c>
      <c r="F8" s="25">
        <v>10555</v>
      </c>
      <c r="G8" s="25">
        <f>+F8+E8+D8+C8</f>
        <v>83608</v>
      </c>
    </row>
    <row r="9" spans="1:7" x14ac:dyDescent="0.25">
      <c r="B9" s="69"/>
      <c r="C9" s="69"/>
      <c r="D9" s="69"/>
      <c r="E9" s="69"/>
      <c r="F9" s="69"/>
      <c r="G9" s="69"/>
    </row>
    <row r="10" spans="1:7" x14ac:dyDescent="0.25">
      <c r="B10" s="74" t="s">
        <v>8</v>
      </c>
      <c r="C10" s="75"/>
      <c r="D10" s="75"/>
      <c r="E10" s="75"/>
      <c r="F10" s="75"/>
      <c r="G10" s="76"/>
    </row>
    <row r="11" spans="1:7" x14ac:dyDescent="0.25">
      <c r="B11" s="70" t="s">
        <v>9</v>
      </c>
      <c r="C11" s="71"/>
      <c r="D11" s="71"/>
      <c r="E11" s="71"/>
      <c r="F11" s="71"/>
      <c r="G11" s="72"/>
    </row>
    <row r="12" spans="1:7" x14ac:dyDescent="0.25">
      <c r="B12" s="16" t="s">
        <v>10</v>
      </c>
      <c r="C12" s="12">
        <v>924262</v>
      </c>
      <c r="D12" s="12">
        <v>140286</v>
      </c>
      <c r="E12" s="12">
        <v>55345</v>
      </c>
      <c r="F12" s="12">
        <v>0</v>
      </c>
      <c r="G12" s="17">
        <f>SUM(C12:F12)</f>
        <v>1119893</v>
      </c>
    </row>
    <row r="13" spans="1:7" x14ac:dyDescent="0.25">
      <c r="B13" s="16" t="s">
        <v>11</v>
      </c>
      <c r="C13" s="12">
        <v>2308481</v>
      </c>
      <c r="D13" s="12">
        <v>530795</v>
      </c>
      <c r="E13" s="12">
        <v>230632</v>
      </c>
      <c r="F13" s="12">
        <v>0</v>
      </c>
      <c r="G13" s="17">
        <f>SUM(C13:F13)</f>
        <v>3069908</v>
      </c>
    </row>
    <row r="14" spans="1:7" x14ac:dyDescent="0.25">
      <c r="B14" s="18" t="s">
        <v>12</v>
      </c>
      <c r="C14" s="25">
        <v>3232743</v>
      </c>
      <c r="D14" s="25">
        <v>1023449</v>
      </c>
      <c r="E14" s="25">
        <v>285977</v>
      </c>
      <c r="F14" s="25">
        <v>364331</v>
      </c>
      <c r="G14" s="19">
        <f>SUM(C14:F14)</f>
        <v>4906500</v>
      </c>
    </row>
    <row r="15" spans="1:7" x14ac:dyDescent="0.25">
      <c r="B15" s="18" t="s">
        <v>13</v>
      </c>
      <c r="C15" s="25">
        <v>438741</v>
      </c>
      <c r="D15" s="25">
        <v>155515</v>
      </c>
      <c r="E15" s="25">
        <v>3062</v>
      </c>
      <c r="F15" s="25">
        <v>136664</v>
      </c>
      <c r="G15" s="19">
        <f>SUM(C15:F15)</f>
        <v>733982</v>
      </c>
    </row>
    <row r="16" spans="1:7" x14ac:dyDescent="0.25">
      <c r="B16" s="18" t="s">
        <v>14</v>
      </c>
      <c r="C16" s="25">
        <v>3671484</v>
      </c>
      <c r="D16" s="25">
        <v>1178964</v>
      </c>
      <c r="E16" s="25">
        <v>289039</v>
      </c>
      <c r="F16" s="25">
        <v>500995</v>
      </c>
      <c r="G16" s="19">
        <f>SUM(C16:F16)</f>
        <v>5640482</v>
      </c>
    </row>
    <row r="17" spans="2:8" x14ac:dyDescent="0.25">
      <c r="B17" s="69"/>
      <c r="C17" s="69"/>
      <c r="D17" s="69"/>
      <c r="E17" s="69"/>
      <c r="F17" s="69"/>
      <c r="G17" s="69"/>
    </row>
    <row r="18" spans="2:8" x14ac:dyDescent="0.25">
      <c r="B18" s="70" t="s">
        <v>15</v>
      </c>
      <c r="C18" s="71"/>
      <c r="D18" s="71"/>
      <c r="E18" s="71"/>
      <c r="F18" s="71"/>
      <c r="G18" s="72"/>
    </row>
    <row r="19" spans="2:8" x14ac:dyDescent="0.25">
      <c r="B19" s="14" t="s">
        <v>16</v>
      </c>
      <c r="C19" s="12">
        <v>3571</v>
      </c>
      <c r="D19" s="28">
        <v>4</v>
      </c>
      <c r="E19" s="17">
        <v>0</v>
      </c>
      <c r="F19" s="17">
        <v>0</v>
      </c>
      <c r="G19" s="17">
        <f>SUM(C19:F19)</f>
        <v>3575</v>
      </c>
    </row>
    <row r="20" spans="2:8" x14ac:dyDescent="0.25">
      <c r="B20" s="90"/>
      <c r="C20" s="90"/>
      <c r="D20" s="90"/>
      <c r="E20" s="90"/>
      <c r="F20" s="90"/>
      <c r="G20" s="90"/>
    </row>
    <row r="21" spans="2:8" x14ac:dyDescent="0.25">
      <c r="B21" s="18" t="s">
        <v>17</v>
      </c>
      <c r="C21" s="19">
        <f>+C19+C16</f>
        <v>3675055</v>
      </c>
      <c r="D21" s="19">
        <v>1178968</v>
      </c>
      <c r="E21" s="19">
        <f>+E19+E16</f>
        <v>289039</v>
      </c>
      <c r="F21" s="19">
        <f>F16</f>
        <v>500995</v>
      </c>
      <c r="G21" s="19">
        <f>SUM(C21:F21)</f>
        <v>5644057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18</v>
      </c>
      <c r="C23" s="9"/>
      <c r="D23" s="9"/>
      <c r="E23" s="9"/>
      <c r="F23" s="9"/>
      <c r="G23" s="10"/>
    </row>
    <row r="24" spans="2:8" x14ac:dyDescent="0.25">
      <c r="B24" s="18" t="s">
        <v>19</v>
      </c>
      <c r="C24" s="19">
        <v>401073</v>
      </c>
      <c r="D24" s="19">
        <v>197970</v>
      </c>
      <c r="E24" s="19">
        <v>131362</v>
      </c>
      <c r="F24" s="19">
        <v>672566</v>
      </c>
      <c r="G24" s="19">
        <f>SUM(C24:F24)</f>
        <v>1402971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20</v>
      </c>
      <c r="C26" s="9"/>
      <c r="D26" s="9"/>
      <c r="E26" s="9"/>
      <c r="F26" s="9"/>
      <c r="G26" s="10"/>
    </row>
    <row r="27" spans="2:8" x14ac:dyDescent="0.25">
      <c r="B27" s="18" t="s">
        <v>21</v>
      </c>
      <c r="C27" s="19">
        <f>+C24+C21</f>
        <v>4076128</v>
      </c>
      <c r="D27" s="19">
        <f>+D24+D21</f>
        <v>1376938</v>
      </c>
      <c r="E27" s="19">
        <f>+E21+E24</f>
        <v>420401</v>
      </c>
      <c r="F27" s="19">
        <f>+F24+F21</f>
        <v>1173561</v>
      </c>
      <c r="G27" s="19">
        <f>SUM(C27:F27)</f>
        <v>7047028</v>
      </c>
    </row>
    <row r="28" spans="2:8" x14ac:dyDescent="0.25">
      <c r="B28" s="69"/>
      <c r="C28" s="69"/>
      <c r="D28" s="69"/>
      <c r="E28" s="69"/>
      <c r="F28" s="69"/>
      <c r="G28" s="69"/>
      <c r="H28" s="69"/>
    </row>
    <row r="29" spans="2:8" x14ac:dyDescent="0.25">
      <c r="B29" s="74" t="s">
        <v>22</v>
      </c>
      <c r="C29" s="75"/>
      <c r="D29" s="75"/>
      <c r="E29" s="75"/>
      <c r="F29" s="75"/>
      <c r="G29" s="76"/>
    </row>
    <row r="30" spans="2:8" x14ac:dyDescent="0.25">
      <c r="B30" s="14" t="s">
        <v>23</v>
      </c>
      <c r="C30" s="28">
        <v>1201070</v>
      </c>
      <c r="D30" s="28">
        <v>176885</v>
      </c>
      <c r="E30" s="28">
        <v>91627</v>
      </c>
      <c r="F30" s="28">
        <v>164649</v>
      </c>
      <c r="G30" s="28">
        <f>SUM(C30:F30)</f>
        <v>1634231</v>
      </c>
    </row>
    <row r="31" spans="2:8" x14ac:dyDescent="0.25">
      <c r="B31" s="69"/>
      <c r="C31" s="69"/>
      <c r="D31" s="69"/>
      <c r="E31" s="69"/>
      <c r="F31" s="69"/>
      <c r="G31" s="69"/>
      <c r="H31" s="69"/>
    </row>
    <row r="32" spans="2:8" x14ac:dyDescent="0.25">
      <c r="B32" s="74" t="s">
        <v>107</v>
      </c>
      <c r="C32" s="75"/>
      <c r="D32" s="75"/>
      <c r="E32" s="75"/>
      <c r="F32" s="75"/>
      <c r="G32" s="76"/>
    </row>
    <row r="33" spans="2:9" x14ac:dyDescent="0.25">
      <c r="B33" s="14" t="s">
        <v>25</v>
      </c>
      <c r="C33" s="28">
        <v>3436679697718</v>
      </c>
      <c r="D33" s="28">
        <v>593627432739</v>
      </c>
      <c r="E33" s="28">
        <v>233881819319</v>
      </c>
      <c r="F33" s="28">
        <v>399964856537</v>
      </c>
      <c r="G33" s="28">
        <f>SUM(C33:F33)</f>
        <v>4664153806313</v>
      </c>
    </row>
    <row r="34" spans="2:9" x14ac:dyDescent="0.25">
      <c r="B34" s="14" t="s">
        <v>26</v>
      </c>
      <c r="C34" s="28">
        <v>148188672289</v>
      </c>
      <c r="D34" s="28">
        <v>64427252490</v>
      </c>
      <c r="E34" s="28">
        <v>35784131900</v>
      </c>
      <c r="F34" s="28">
        <v>189339435870</v>
      </c>
      <c r="G34" s="28">
        <f>SUM(C34:F34)</f>
        <v>437739492549</v>
      </c>
    </row>
    <row r="35" spans="2:9" x14ac:dyDescent="0.25">
      <c r="B35" s="46" t="s">
        <v>27</v>
      </c>
      <c r="C35" s="19">
        <v>3584868370007</v>
      </c>
      <c r="D35" s="19">
        <v>658054685229</v>
      </c>
      <c r="E35" s="19">
        <v>269665951219</v>
      </c>
      <c r="F35" s="19">
        <v>589304292407</v>
      </c>
      <c r="G35" s="47">
        <f>SUM(C35:F35)</f>
        <v>5101893298862</v>
      </c>
    </row>
    <row r="36" spans="2:9" x14ac:dyDescent="0.25">
      <c r="B36" s="85" t="s">
        <v>108</v>
      </c>
      <c r="C36" s="85"/>
      <c r="D36" s="85"/>
      <c r="E36" s="85"/>
      <c r="F36" s="85"/>
      <c r="G36" s="85"/>
      <c r="H36"/>
    </row>
    <row r="37" spans="2:9" x14ac:dyDescent="0.25">
      <c r="B37" s="45"/>
      <c r="C37" s="45"/>
      <c r="D37" s="45"/>
      <c r="E37" s="45"/>
      <c r="F37" s="45"/>
      <c r="G37" s="45"/>
      <c r="H37" s="45"/>
    </row>
    <row r="38" spans="2:9" ht="21" x14ac:dyDescent="0.35">
      <c r="B38" s="78" t="s">
        <v>28</v>
      </c>
      <c r="C38" s="79"/>
      <c r="D38" s="79"/>
      <c r="E38" s="79"/>
      <c r="F38" s="79"/>
      <c r="G38" s="80"/>
    </row>
    <row r="39" spans="2:9" x14ac:dyDescent="0.25">
      <c r="B39" s="74" t="s">
        <v>29</v>
      </c>
      <c r="C39" s="75"/>
      <c r="D39" s="75"/>
      <c r="E39" s="75"/>
      <c r="F39" s="75"/>
      <c r="G39" s="76"/>
    </row>
    <row r="40" spans="2:9" x14ac:dyDescent="0.25">
      <c r="B40" s="14" t="s">
        <v>30</v>
      </c>
      <c r="C40" s="28">
        <v>572405</v>
      </c>
      <c r="D40" s="28">
        <v>106507</v>
      </c>
      <c r="E40" s="28">
        <v>54136</v>
      </c>
      <c r="F40" s="28">
        <v>77764</v>
      </c>
      <c r="G40" s="28">
        <f>SUM(C40:F40)</f>
        <v>810812</v>
      </c>
      <c r="H40" s="7"/>
      <c r="I40" s="7"/>
    </row>
    <row r="41" spans="2:9" x14ac:dyDescent="0.25">
      <c r="B41" s="14" t="s">
        <v>31</v>
      </c>
      <c r="C41" s="28">
        <f>2786089126/1000000</f>
        <v>2786.0891259999999</v>
      </c>
      <c r="D41" s="28">
        <v>994.87557600000002</v>
      </c>
      <c r="E41" s="28">
        <v>415</v>
      </c>
      <c r="F41" s="12">
        <v>544.94109600000002</v>
      </c>
      <c r="G41" s="11">
        <f>SUM(C41:F41)</f>
        <v>4740.9057979999998</v>
      </c>
      <c r="H41" s="7"/>
      <c r="I41" s="7"/>
    </row>
    <row r="42" spans="2:9" x14ac:dyDescent="0.25">
      <c r="B42" s="69"/>
      <c r="C42" s="69"/>
      <c r="D42" s="69"/>
      <c r="E42" s="69"/>
      <c r="F42" s="69"/>
      <c r="G42" s="69"/>
      <c r="H42" s="69"/>
      <c r="I42" s="7"/>
    </row>
    <row r="43" spans="2:9" x14ac:dyDescent="0.25">
      <c r="B43" s="68" t="s">
        <v>109</v>
      </c>
      <c r="C43" s="68"/>
      <c r="D43" s="68"/>
      <c r="E43" s="68"/>
      <c r="F43" s="68"/>
      <c r="G43" s="68"/>
      <c r="I43" s="7"/>
    </row>
    <row r="44" spans="2:9" x14ac:dyDescent="0.25">
      <c r="B44" s="14" t="s">
        <v>111</v>
      </c>
      <c r="C44" s="28">
        <v>11</v>
      </c>
      <c r="D44" s="28">
        <v>6</v>
      </c>
      <c r="E44" s="28">
        <v>1</v>
      </c>
      <c r="F44" s="28">
        <v>1</v>
      </c>
      <c r="G44" s="28">
        <f>SUM(C44:F44)</f>
        <v>19</v>
      </c>
      <c r="H44" s="7"/>
      <c r="I44" s="7"/>
    </row>
    <row r="45" spans="2:9" x14ac:dyDescent="0.25">
      <c r="B45" s="14" t="s">
        <v>112</v>
      </c>
      <c r="C45" s="28">
        <f>4671085/1000000</f>
        <v>4.6710849999999997</v>
      </c>
      <c r="D45" s="28">
        <v>8.6308999999999997E-2</v>
      </c>
      <c r="E45" s="28">
        <v>0.01</v>
      </c>
      <c r="F45" s="28">
        <v>0.121561</v>
      </c>
      <c r="G45" s="11">
        <f>SUM(C45:F45)</f>
        <v>4.8889549999999993</v>
      </c>
      <c r="H45" s="7"/>
      <c r="I45" s="7"/>
    </row>
    <row r="46" spans="2:9" x14ac:dyDescent="0.25">
      <c r="B46" s="69"/>
      <c r="C46" s="69"/>
      <c r="D46" s="69"/>
      <c r="E46" s="69"/>
      <c r="F46" s="69"/>
      <c r="G46" s="69"/>
      <c r="H46" s="69"/>
      <c r="I46" s="7"/>
    </row>
    <row r="47" spans="2:9" x14ac:dyDescent="0.25">
      <c r="B47" s="68" t="s">
        <v>110</v>
      </c>
      <c r="C47" s="68"/>
      <c r="D47" s="68"/>
      <c r="E47" s="68"/>
      <c r="F47" s="68"/>
      <c r="G47" s="68"/>
      <c r="I47" s="7"/>
    </row>
    <row r="48" spans="2:9" x14ac:dyDescent="0.25">
      <c r="B48" s="14" t="s">
        <v>113</v>
      </c>
      <c r="C48" s="28">
        <v>184090</v>
      </c>
      <c r="D48" s="28">
        <v>88247</v>
      </c>
      <c r="E48" s="28">
        <v>13552</v>
      </c>
      <c r="F48" s="28">
        <v>63378</v>
      </c>
      <c r="G48" s="28">
        <f>SUM(C48:F48)</f>
        <v>349267</v>
      </c>
      <c r="H48" s="7"/>
      <c r="I48" s="7"/>
    </row>
    <row r="49" spans="2:9" x14ac:dyDescent="0.25">
      <c r="B49" s="14" t="s">
        <v>114</v>
      </c>
      <c r="C49" s="28">
        <f>(69986144860+ 1306134941)/1000000</f>
        <v>71292.279800999997</v>
      </c>
      <c r="D49" s="28">
        <v>30358.729303</v>
      </c>
      <c r="E49" s="28">
        <v>10247.391228</v>
      </c>
      <c r="F49" s="28">
        <v>10413.271543000001</v>
      </c>
      <c r="G49" s="11">
        <f>SUM(C49:F49)</f>
        <v>122311.67187499999</v>
      </c>
      <c r="H49" s="7"/>
      <c r="I49" s="7"/>
    </row>
    <row r="50" spans="2:9" x14ac:dyDescent="0.25">
      <c r="B50" s="69"/>
      <c r="C50" s="69"/>
      <c r="D50" s="69"/>
      <c r="E50" s="69"/>
      <c r="F50" s="69"/>
      <c r="G50" s="69"/>
      <c r="H50" s="69"/>
    </row>
    <row r="51" spans="2:9" ht="21" x14ac:dyDescent="0.35">
      <c r="B51" s="78" t="s">
        <v>38</v>
      </c>
      <c r="C51" s="79"/>
      <c r="D51" s="79"/>
      <c r="E51" s="79"/>
      <c r="F51" s="79"/>
      <c r="G51" s="80"/>
    </row>
    <row r="52" spans="2:9" x14ac:dyDescent="0.25">
      <c r="B52" s="86"/>
      <c r="C52" s="86"/>
      <c r="D52" s="86"/>
      <c r="E52" s="86"/>
      <c r="F52" s="86"/>
      <c r="G52" s="86"/>
      <c r="H52" s="86"/>
    </row>
    <row r="53" spans="2:9" x14ac:dyDescent="0.25">
      <c r="B53" s="68" t="s">
        <v>39</v>
      </c>
      <c r="C53" s="68"/>
      <c r="D53" s="68"/>
      <c r="E53" s="68"/>
      <c r="F53" s="68"/>
      <c r="G53" s="68"/>
    </row>
    <row r="54" spans="2:9" x14ac:dyDescent="0.25">
      <c r="B54" s="73" t="s">
        <v>40</v>
      </c>
      <c r="C54" s="73"/>
      <c r="D54" s="73"/>
      <c r="E54" s="73"/>
      <c r="F54" s="73"/>
      <c r="G54" s="73"/>
    </row>
    <row r="55" spans="2:9" x14ac:dyDescent="0.25">
      <c r="B55" s="14" t="s">
        <v>41</v>
      </c>
      <c r="C55" s="28">
        <v>65456</v>
      </c>
      <c r="D55" s="28">
        <v>4447</v>
      </c>
      <c r="E55" s="28">
        <v>1305</v>
      </c>
      <c r="F55" s="28">
        <v>3779</v>
      </c>
      <c r="G55" s="28">
        <f t="shared" ref="G55:G71" si="0">SUM(C55:F55)</f>
        <v>74987</v>
      </c>
    </row>
    <row r="56" spans="2:9" x14ac:dyDescent="0.25">
      <c r="B56" s="14" t="s">
        <v>42</v>
      </c>
      <c r="C56" s="28">
        <v>60311.539959000002</v>
      </c>
      <c r="D56" s="28">
        <v>7676.716539</v>
      </c>
      <c r="E56" s="28">
        <v>2185.7881339999999</v>
      </c>
      <c r="F56" s="28">
        <v>9247</v>
      </c>
      <c r="G56" s="28">
        <f t="shared" si="0"/>
        <v>79421.044632000005</v>
      </c>
    </row>
    <row r="57" spans="2:9" x14ac:dyDescent="0.25">
      <c r="B57" s="14" t="s">
        <v>43</v>
      </c>
      <c r="C57" s="28">
        <v>16.535520043999</v>
      </c>
      <c r="D57" s="28">
        <v>39.996989603545607</v>
      </c>
      <c r="E57" s="28">
        <v>26</v>
      </c>
      <c r="F57" s="28">
        <v>32</v>
      </c>
      <c r="G57" s="28">
        <f>AVERAGE(C57:F57)</f>
        <v>28.63312741188615</v>
      </c>
    </row>
    <row r="58" spans="2:9" x14ac:dyDescent="0.25">
      <c r="B58" s="14" t="s">
        <v>44</v>
      </c>
      <c r="C58" s="28">
        <v>812601</v>
      </c>
      <c r="D58" s="28">
        <v>154175</v>
      </c>
      <c r="E58" s="28">
        <v>50460</v>
      </c>
      <c r="F58" s="28">
        <v>65765</v>
      </c>
      <c r="G58" s="28">
        <f t="shared" si="0"/>
        <v>1083001</v>
      </c>
    </row>
    <row r="59" spans="2:9" x14ac:dyDescent="0.25">
      <c r="B59" s="14" t="s">
        <v>115</v>
      </c>
      <c r="C59" s="28">
        <v>1692087.3982899999</v>
      </c>
      <c r="D59" s="28">
        <v>309906.42560000002</v>
      </c>
      <c r="E59" s="28">
        <v>108950.49655700001</v>
      </c>
      <c r="F59" s="28">
        <v>136174</v>
      </c>
      <c r="G59" s="11">
        <f t="shared" si="0"/>
        <v>2247118.3204469997</v>
      </c>
    </row>
    <row r="60" spans="2:9" x14ac:dyDescent="0.25">
      <c r="B60" s="73" t="s">
        <v>45</v>
      </c>
      <c r="C60" s="73"/>
      <c r="D60" s="73"/>
      <c r="E60" s="73"/>
      <c r="F60" s="73"/>
      <c r="G60" s="73"/>
    </row>
    <row r="61" spans="2:9" x14ac:dyDescent="0.25">
      <c r="B61" s="14" t="s">
        <v>41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42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43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44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115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3" t="s">
        <v>46</v>
      </c>
      <c r="C66" s="73"/>
      <c r="D66" s="73"/>
      <c r="E66" s="73"/>
      <c r="F66" s="73"/>
      <c r="G66" s="73"/>
    </row>
    <row r="67" spans="2:8" x14ac:dyDescent="0.25">
      <c r="B67" s="14" t="s">
        <v>41</v>
      </c>
      <c r="C67" s="28">
        <v>6850</v>
      </c>
      <c r="D67" s="28">
        <v>2003</v>
      </c>
      <c r="E67" s="28">
        <v>1196</v>
      </c>
      <c r="F67" s="28">
        <v>10044</v>
      </c>
      <c r="G67" s="28">
        <f t="shared" si="0"/>
        <v>20093</v>
      </c>
    </row>
    <row r="68" spans="2:8" x14ac:dyDescent="0.25">
      <c r="B68" s="14" t="s">
        <v>42</v>
      </c>
      <c r="C68" s="28">
        <v>6028.491567</v>
      </c>
      <c r="D68" s="28">
        <v>2110.6821180000002</v>
      </c>
      <c r="E68" s="28">
        <v>1133.4087509999999</v>
      </c>
      <c r="F68" s="28">
        <v>12132</v>
      </c>
      <c r="G68" s="28">
        <f t="shared" si="0"/>
        <v>21404.582436000001</v>
      </c>
    </row>
    <row r="69" spans="2:8" x14ac:dyDescent="0.25">
      <c r="B69" s="14" t="s">
        <v>43</v>
      </c>
      <c r="C69" s="28">
        <v>40.985401459854003</v>
      </c>
      <c r="D69" s="28">
        <v>54.968906942101512</v>
      </c>
      <c r="E69" s="28">
        <v>51</v>
      </c>
      <c r="F69" s="28">
        <v>42</v>
      </c>
      <c r="G69" s="28">
        <f>AVERAGE(C69:F69)</f>
        <v>47.238577100488882</v>
      </c>
    </row>
    <row r="70" spans="2:8" x14ac:dyDescent="0.25">
      <c r="B70" s="14" t="s">
        <v>44</v>
      </c>
      <c r="C70" s="28">
        <v>110100</v>
      </c>
      <c r="D70" s="28">
        <v>84721</v>
      </c>
      <c r="E70" s="28">
        <v>53653</v>
      </c>
      <c r="F70" s="28">
        <v>235755</v>
      </c>
      <c r="G70" s="28">
        <f t="shared" si="0"/>
        <v>484229</v>
      </c>
    </row>
    <row r="71" spans="2:8" x14ac:dyDescent="0.25">
      <c r="B71" s="14" t="s">
        <v>115</v>
      </c>
      <c r="C71" s="28">
        <v>105013.220938</v>
      </c>
      <c r="D71" s="28">
        <v>88185.549658000004</v>
      </c>
      <c r="E71" s="28">
        <v>53628.261452999999</v>
      </c>
      <c r="F71" s="28">
        <v>197505</v>
      </c>
      <c r="G71" s="11">
        <f t="shared" si="0"/>
        <v>444332.03204900003</v>
      </c>
    </row>
    <row r="72" spans="2:8" x14ac:dyDescent="0.25">
      <c r="B72" s="82" t="s">
        <v>47</v>
      </c>
      <c r="C72" s="83"/>
      <c r="D72" s="83"/>
      <c r="E72" s="83"/>
      <c r="F72" s="83"/>
      <c r="G72" s="84"/>
    </row>
    <row r="73" spans="2:8" x14ac:dyDescent="0.25">
      <c r="B73" s="18" t="s">
        <v>116</v>
      </c>
      <c r="C73" s="19">
        <f>+C55+C67</f>
        <v>72306</v>
      </c>
      <c r="D73" s="19">
        <f>+D67+D61+D55</f>
        <v>6450</v>
      </c>
      <c r="E73" s="19">
        <f t="shared" ref="E73:E74" si="1">+E67+E61+E55</f>
        <v>2501</v>
      </c>
      <c r="F73" s="19">
        <f>+F55+F67</f>
        <v>13823</v>
      </c>
      <c r="G73" s="19">
        <f>SUM(C73:F73)</f>
        <v>95080</v>
      </c>
    </row>
    <row r="74" spans="2:8" x14ac:dyDescent="0.25">
      <c r="B74" s="18" t="s">
        <v>42</v>
      </c>
      <c r="C74" s="19">
        <f>+C56+C68</f>
        <v>66340.031526000006</v>
      </c>
      <c r="D74" s="19">
        <f t="shared" ref="D74:E77" si="2">+D68+D62+D56</f>
        <v>9787.3986569999997</v>
      </c>
      <c r="E74" s="19">
        <f t="shared" si="1"/>
        <v>3319.1968849999998</v>
      </c>
      <c r="F74" s="19">
        <f>+F56+F68</f>
        <v>21379</v>
      </c>
      <c r="G74" s="22">
        <f>SUM(C74:F74)</f>
        <v>100825.627068</v>
      </c>
    </row>
    <row r="75" spans="2:8" x14ac:dyDescent="0.25">
      <c r="B75" s="18" t="s">
        <v>43</v>
      </c>
      <c r="C75" s="19">
        <v>0</v>
      </c>
      <c r="D75" s="19">
        <f>(+D57+D63+D69)/3</f>
        <v>31.655298848549041</v>
      </c>
      <c r="E75" s="19">
        <v>0</v>
      </c>
      <c r="F75" s="19">
        <f>(F57+F69)/2</f>
        <v>37</v>
      </c>
      <c r="G75" s="19">
        <f>AVERAGE(C75:F75)</f>
        <v>17.163824712137259</v>
      </c>
    </row>
    <row r="76" spans="2:8" x14ac:dyDescent="0.25">
      <c r="B76" s="18" t="s">
        <v>44</v>
      </c>
      <c r="C76" s="19">
        <f>+C58+C70</f>
        <v>922701</v>
      </c>
      <c r="D76" s="19">
        <f t="shared" si="2"/>
        <v>238896</v>
      </c>
      <c r="E76" s="19">
        <f t="shared" si="2"/>
        <v>104113</v>
      </c>
      <c r="F76" s="19">
        <f>+F58+F70</f>
        <v>301520</v>
      </c>
      <c r="G76" s="19">
        <f>SUM(C76:F76)</f>
        <v>1567230</v>
      </c>
    </row>
    <row r="77" spans="2:8" x14ac:dyDescent="0.25">
      <c r="B77" s="18" t="s">
        <v>115</v>
      </c>
      <c r="C77" s="19">
        <f>+C59+C71</f>
        <v>1797100.6192279998</v>
      </c>
      <c r="D77" s="19">
        <f>+D71+D65+D59</f>
        <v>398091.97525800002</v>
      </c>
      <c r="E77" s="19">
        <f t="shared" si="2"/>
        <v>162578.75800999999</v>
      </c>
      <c r="F77" s="19">
        <f>+F59+F71</f>
        <v>333679</v>
      </c>
      <c r="G77" s="22">
        <f>SUM(C77:F77)</f>
        <v>2691450.352496</v>
      </c>
    </row>
    <row r="78" spans="2:8" x14ac:dyDescent="0.25">
      <c r="B78" s="69"/>
      <c r="C78" s="69"/>
      <c r="D78" s="69"/>
      <c r="E78" s="69"/>
      <c r="F78" s="69"/>
      <c r="G78" s="69"/>
      <c r="H78" s="69"/>
    </row>
    <row r="79" spans="2:8" x14ac:dyDescent="0.25">
      <c r="B79" s="74" t="s">
        <v>48</v>
      </c>
      <c r="C79" s="75"/>
      <c r="D79" s="75"/>
      <c r="E79" s="75"/>
      <c r="F79" s="75"/>
      <c r="G79" s="76"/>
    </row>
    <row r="80" spans="2:8" x14ac:dyDescent="0.25">
      <c r="B80" s="70" t="s">
        <v>40</v>
      </c>
      <c r="C80" s="71"/>
      <c r="D80" s="71"/>
      <c r="E80" s="71"/>
      <c r="F80" s="71"/>
      <c r="G80" s="72"/>
    </row>
    <row r="81" spans="2:7" x14ac:dyDescent="0.25">
      <c r="B81" s="14" t="s">
        <v>41</v>
      </c>
      <c r="C81" s="24">
        <v>0</v>
      </c>
      <c r="D81" s="24">
        <v>0</v>
      </c>
      <c r="E81" s="24">
        <v>0</v>
      </c>
      <c r="F81" s="28">
        <v>0</v>
      </c>
      <c r="G81" s="20">
        <f>SUM(C81:F81)</f>
        <v>0</v>
      </c>
    </row>
    <row r="82" spans="2:7" x14ac:dyDescent="0.25">
      <c r="B82" s="14" t="s">
        <v>42</v>
      </c>
      <c r="C82" s="24">
        <v>0</v>
      </c>
      <c r="D82" s="24">
        <v>0</v>
      </c>
      <c r="E82" s="24">
        <v>0</v>
      </c>
      <c r="F82" s="28">
        <v>0</v>
      </c>
      <c r="G82" s="24">
        <f>SUM(C82:F82)</f>
        <v>0</v>
      </c>
    </row>
    <row r="83" spans="2:7" x14ac:dyDescent="0.25">
      <c r="B83" s="14" t="s">
        <v>43</v>
      </c>
      <c r="C83" s="24">
        <v>0</v>
      </c>
      <c r="D83" s="24">
        <v>0</v>
      </c>
      <c r="E83" s="24">
        <v>0</v>
      </c>
      <c r="F83" s="28">
        <v>0</v>
      </c>
      <c r="G83" s="24">
        <f>AVERAGE(C83:F83)</f>
        <v>0</v>
      </c>
    </row>
    <row r="84" spans="2:7" x14ac:dyDescent="0.25">
      <c r="B84" s="14" t="s">
        <v>44</v>
      </c>
      <c r="C84" s="24">
        <v>1032</v>
      </c>
      <c r="D84" s="24">
        <v>123</v>
      </c>
      <c r="E84" s="24">
        <v>6</v>
      </c>
      <c r="F84" s="24">
        <v>102</v>
      </c>
      <c r="G84" s="24">
        <f>SUM(C84:F84)</f>
        <v>1263</v>
      </c>
    </row>
    <row r="85" spans="2:7" x14ac:dyDescent="0.25">
      <c r="B85" s="14" t="s">
        <v>115</v>
      </c>
      <c r="C85" s="24">
        <v>22114.304563000002</v>
      </c>
      <c r="D85" s="24">
        <v>1530</v>
      </c>
      <c r="E85" s="24">
        <v>79</v>
      </c>
      <c r="F85" s="28">
        <v>1953.5679239999999</v>
      </c>
      <c r="G85" s="11">
        <f>SUM(C85:F85)</f>
        <v>25676.872487000001</v>
      </c>
    </row>
    <row r="86" spans="2:7" x14ac:dyDescent="0.25">
      <c r="B86" s="70" t="s">
        <v>45</v>
      </c>
      <c r="C86" s="71"/>
      <c r="D86" s="71"/>
      <c r="E86" s="71"/>
      <c r="F86" s="71"/>
      <c r="G86" s="72"/>
    </row>
    <row r="87" spans="2:7" x14ac:dyDescent="0.25">
      <c r="B87" s="14" t="s">
        <v>41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42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43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44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115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0" t="s">
        <v>46</v>
      </c>
      <c r="C92" s="71"/>
      <c r="D92" s="71"/>
      <c r="E92" s="71"/>
      <c r="F92" s="71"/>
      <c r="G92" s="72"/>
    </row>
    <row r="93" spans="2:7" x14ac:dyDescent="0.25">
      <c r="B93" s="14" t="s">
        <v>41</v>
      </c>
      <c r="C93" s="28">
        <v>0</v>
      </c>
      <c r="D93" s="28">
        <v>0</v>
      </c>
      <c r="E93" s="28">
        <v>0</v>
      </c>
      <c r="F93" s="28">
        <v>0</v>
      </c>
      <c r="G93" s="28">
        <f>SUM(C93:F93)</f>
        <v>0</v>
      </c>
    </row>
    <row r="94" spans="2:7" x14ac:dyDescent="0.25">
      <c r="B94" s="14" t="s">
        <v>42</v>
      </c>
      <c r="C94" s="28">
        <v>0</v>
      </c>
      <c r="D94" s="28">
        <v>0</v>
      </c>
      <c r="E94" s="28">
        <v>0</v>
      </c>
      <c r="F94" s="28">
        <v>0</v>
      </c>
      <c r="G94" s="28">
        <f>SUM(C94:F94)</f>
        <v>0</v>
      </c>
    </row>
    <row r="95" spans="2:7" x14ac:dyDescent="0.25">
      <c r="B95" s="14" t="s">
        <v>43</v>
      </c>
      <c r="C95" s="28">
        <v>0</v>
      </c>
      <c r="D95" s="28">
        <v>0</v>
      </c>
      <c r="E95" s="28">
        <v>0</v>
      </c>
      <c r="F95" s="28">
        <v>0</v>
      </c>
      <c r="G95" s="28">
        <f>AVERAGE(C95:F95)</f>
        <v>0</v>
      </c>
    </row>
    <row r="96" spans="2:7" x14ac:dyDescent="0.25">
      <c r="B96" s="14" t="s">
        <v>44</v>
      </c>
      <c r="C96" s="28">
        <v>12</v>
      </c>
      <c r="D96" s="28">
        <v>0</v>
      </c>
      <c r="E96" s="28">
        <v>0</v>
      </c>
      <c r="F96" s="24">
        <v>7</v>
      </c>
      <c r="G96" s="28">
        <f>SUM(C96:F96)</f>
        <v>19</v>
      </c>
    </row>
    <row r="97" spans="2:8" x14ac:dyDescent="0.25">
      <c r="B97" s="14" t="s">
        <v>115</v>
      </c>
      <c r="C97" s="28">
        <v>190.50414599999999</v>
      </c>
      <c r="D97" s="28">
        <v>0</v>
      </c>
      <c r="E97" s="28">
        <v>0</v>
      </c>
      <c r="F97" s="24">
        <v>91.163385000000005</v>
      </c>
      <c r="G97" s="11">
        <f>SUM(C97:F97)</f>
        <v>281.667531</v>
      </c>
    </row>
    <row r="98" spans="2:8" x14ac:dyDescent="0.25">
      <c r="B98" s="82" t="s">
        <v>49</v>
      </c>
      <c r="C98" s="83"/>
      <c r="D98" s="83"/>
      <c r="E98" s="83"/>
      <c r="F98" s="83"/>
      <c r="G98" s="84"/>
    </row>
    <row r="99" spans="2:8" x14ac:dyDescent="0.25">
      <c r="B99" s="18" t="s">
        <v>41</v>
      </c>
      <c r="C99" s="19">
        <v>0</v>
      </c>
      <c r="D99" s="19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42</v>
      </c>
      <c r="C100" s="19">
        <v>0</v>
      </c>
      <c r="D100" s="19">
        <v>0</v>
      </c>
      <c r="E100" s="19">
        <v>0</v>
      </c>
      <c r="F100" s="19">
        <v>0</v>
      </c>
      <c r="G100" s="22">
        <f>SUM(C100:F100)</f>
        <v>0</v>
      </c>
    </row>
    <row r="101" spans="2:8" x14ac:dyDescent="0.25">
      <c r="B101" s="18" t="s">
        <v>43</v>
      </c>
      <c r="C101" s="19">
        <v>0</v>
      </c>
      <c r="D101" s="19">
        <v>0</v>
      </c>
      <c r="E101" s="19">
        <v>0</v>
      </c>
      <c r="F101" s="19">
        <v>0</v>
      </c>
      <c r="G101" s="19">
        <f>AVERAGE(C101:F101)</f>
        <v>0</v>
      </c>
    </row>
    <row r="102" spans="2:8" x14ac:dyDescent="0.25">
      <c r="B102" s="18" t="s">
        <v>44</v>
      </c>
      <c r="C102" s="19">
        <f>+C96+C84</f>
        <v>1044</v>
      </c>
      <c r="D102" s="19">
        <f t="shared" ref="D102:D103" si="3">+D96+D90+D84</f>
        <v>123</v>
      </c>
      <c r="E102" s="19">
        <f>+E84</f>
        <v>6</v>
      </c>
      <c r="F102" s="19">
        <f>+F96+F84</f>
        <v>109</v>
      </c>
      <c r="G102" s="19">
        <f>SUM(C102:F102)</f>
        <v>1282</v>
      </c>
    </row>
    <row r="103" spans="2:8" x14ac:dyDescent="0.25">
      <c r="B103" s="18" t="s">
        <v>115</v>
      </c>
      <c r="C103" s="19">
        <f>+C97+C85</f>
        <v>22304.808709000001</v>
      </c>
      <c r="D103" s="19">
        <f t="shared" si="3"/>
        <v>1530</v>
      </c>
      <c r="E103" s="19">
        <f>+E85</f>
        <v>79</v>
      </c>
      <c r="F103" s="19">
        <f>+F85+F97</f>
        <v>2044.731309</v>
      </c>
      <c r="G103" s="22">
        <f>SUM(C103:F103)</f>
        <v>25958.540018</v>
      </c>
    </row>
    <row r="104" spans="2:8" x14ac:dyDescent="0.25">
      <c r="B104" s="69"/>
      <c r="C104" s="69"/>
      <c r="D104" s="69"/>
      <c r="E104" s="69"/>
      <c r="F104" s="69"/>
      <c r="G104" s="69"/>
      <c r="H104" s="69"/>
    </row>
    <row r="105" spans="2:8" x14ac:dyDescent="0.25">
      <c r="B105" s="68" t="s">
        <v>50</v>
      </c>
      <c r="C105" s="68"/>
      <c r="D105" s="68"/>
      <c r="E105" s="68"/>
      <c r="F105" s="68"/>
      <c r="G105" s="68"/>
    </row>
    <row r="106" spans="2:8" x14ac:dyDescent="0.25">
      <c r="B106" s="73" t="s">
        <v>51</v>
      </c>
      <c r="C106" s="73"/>
      <c r="D106" s="73"/>
      <c r="E106" s="73"/>
      <c r="F106" s="73"/>
      <c r="G106" s="73"/>
    </row>
    <row r="107" spans="2:8" x14ac:dyDescent="0.25">
      <c r="B107" s="14" t="s">
        <v>52</v>
      </c>
      <c r="C107" s="13">
        <v>2.386678031735868</v>
      </c>
      <c r="D107" s="13">
        <v>2.4499999999999984</v>
      </c>
      <c r="E107" s="31">
        <v>2.59</v>
      </c>
      <c r="F107" s="31">
        <v>2.4900000000000002</v>
      </c>
      <c r="G107" s="13">
        <f>AVERAGE(C107:F107)</f>
        <v>2.4791695079339666</v>
      </c>
    </row>
    <row r="108" spans="2:8" x14ac:dyDescent="0.25">
      <c r="B108" s="14" t="s">
        <v>53</v>
      </c>
      <c r="C108" s="13">
        <v>2.0054448269613454</v>
      </c>
      <c r="D108" s="13">
        <v>2.4445434298441153</v>
      </c>
      <c r="E108" s="32">
        <v>2.5499999999999998</v>
      </c>
      <c r="F108" s="31">
        <v>2.4900000000000002</v>
      </c>
      <c r="G108" s="13">
        <f>AVERAGE(C108:F108)</f>
        <v>2.3724970642013652</v>
      </c>
    </row>
    <row r="109" spans="2:8" x14ac:dyDescent="0.25">
      <c r="B109" s="14" t="s">
        <v>54</v>
      </c>
      <c r="C109" s="13">
        <v>1.9649981342936047</v>
      </c>
      <c r="D109" s="13">
        <v>2.6333757961783317</v>
      </c>
      <c r="E109" s="31">
        <v>2.64</v>
      </c>
      <c r="F109" s="31">
        <v>2.57</v>
      </c>
      <c r="G109" s="13">
        <f>AVERAGE(C109:F109)</f>
        <v>2.4520934826179843</v>
      </c>
    </row>
    <row r="110" spans="2:8" x14ac:dyDescent="0.25">
      <c r="B110" s="73" t="s">
        <v>55</v>
      </c>
      <c r="C110" s="73"/>
      <c r="D110" s="73"/>
      <c r="E110" s="73"/>
      <c r="F110" s="73"/>
      <c r="G110" s="73"/>
    </row>
    <row r="111" spans="2:8" x14ac:dyDescent="0.25">
      <c r="B111" s="14" t="s">
        <v>52</v>
      </c>
      <c r="C111" s="13">
        <v>1.704</v>
      </c>
      <c r="D111" s="13">
        <v>1.6000000000000005</v>
      </c>
      <c r="E111" s="31">
        <v>2.14</v>
      </c>
      <c r="F111" s="13">
        <v>1.86</v>
      </c>
      <c r="G111" s="13">
        <f>AVERAGE(C111:F111)</f>
        <v>1.8260000000000003</v>
      </c>
    </row>
    <row r="112" spans="2:8" x14ac:dyDescent="0.25">
      <c r="B112" s="14" t="s">
        <v>53</v>
      </c>
      <c r="C112" s="13">
        <v>1.713780487804877</v>
      </c>
      <c r="D112" s="13">
        <v>2.1599999999999979</v>
      </c>
      <c r="E112" s="31">
        <v>2.15</v>
      </c>
      <c r="F112" s="31">
        <v>2.14</v>
      </c>
      <c r="G112" s="13">
        <f>AVERAGE(C112:F112)</f>
        <v>2.0409451219512187</v>
      </c>
    </row>
    <row r="113" spans="2:9" x14ac:dyDescent="0.25">
      <c r="B113" s="14" t="s">
        <v>54</v>
      </c>
      <c r="C113" s="13">
        <v>1.7298854524627787</v>
      </c>
      <c r="D113" s="13">
        <v>2.1600000000000068</v>
      </c>
      <c r="E113" s="31">
        <v>2.2000000000000002</v>
      </c>
      <c r="F113" s="31">
        <v>2.15</v>
      </c>
      <c r="G113" s="13">
        <f>AVERAGE(C113:F113)</f>
        <v>2.0599713631156966</v>
      </c>
    </row>
    <row r="114" spans="2:9" x14ac:dyDescent="0.25">
      <c r="B114" s="69"/>
      <c r="C114" s="69"/>
      <c r="D114" s="69"/>
      <c r="E114" s="69"/>
      <c r="F114" s="69"/>
      <c r="G114" s="69"/>
      <c r="H114" s="69"/>
      <c r="I114" s="69"/>
    </row>
    <row r="115" spans="2:9" x14ac:dyDescent="0.25">
      <c r="B115" s="73" t="s">
        <v>56</v>
      </c>
      <c r="C115" s="73"/>
      <c r="D115" s="73"/>
      <c r="E115" s="73"/>
      <c r="F115" s="73"/>
      <c r="G115" s="73"/>
    </row>
    <row r="116" spans="2:9" x14ac:dyDescent="0.25">
      <c r="B116" s="14" t="s">
        <v>52</v>
      </c>
      <c r="C116" s="13">
        <v>1.4174799123447841</v>
      </c>
      <c r="D116" s="13">
        <v>1.7900000000000011</v>
      </c>
      <c r="E116" s="32">
        <v>1.77</v>
      </c>
      <c r="F116" s="32">
        <v>1.77</v>
      </c>
      <c r="G116" s="13">
        <f>AVERAGE(C116:F116)</f>
        <v>1.6868699780861962</v>
      </c>
    </row>
    <row r="117" spans="2:9" x14ac:dyDescent="0.25">
      <c r="B117" s="14" t="s">
        <v>53</v>
      </c>
      <c r="C117" s="13">
        <v>1.6109513590844093</v>
      </c>
      <c r="D117" s="13">
        <v>1.7900000000000049</v>
      </c>
      <c r="E117" s="32">
        <v>1.77</v>
      </c>
      <c r="F117" s="32">
        <v>1.77</v>
      </c>
      <c r="G117" s="13">
        <f>AVERAGE(C117:F117)</f>
        <v>1.7352378397711035</v>
      </c>
    </row>
    <row r="118" spans="2:9" x14ac:dyDescent="0.25">
      <c r="B118" s="14" t="s">
        <v>54</v>
      </c>
      <c r="C118" s="13">
        <v>1.6188387573964378</v>
      </c>
      <c r="D118" s="13">
        <v>1.7886346300533633</v>
      </c>
      <c r="E118" s="32">
        <v>1.91</v>
      </c>
      <c r="F118" s="13">
        <v>1.7900000000000011</v>
      </c>
      <c r="G118" s="13">
        <f>AVERAGE(C118:F118)</f>
        <v>1.7768683468624504</v>
      </c>
    </row>
    <row r="119" spans="2:9" x14ac:dyDescent="0.25">
      <c r="B119" s="70" t="s">
        <v>57</v>
      </c>
      <c r="C119" s="71"/>
      <c r="D119" s="71"/>
      <c r="E119" s="71"/>
      <c r="F119" s="71"/>
      <c r="G119" s="72"/>
    </row>
    <row r="120" spans="2:9" x14ac:dyDescent="0.25">
      <c r="B120" s="14" t="s">
        <v>52</v>
      </c>
      <c r="C120" s="13">
        <v>0</v>
      </c>
      <c r="D120" s="13">
        <v>1.43</v>
      </c>
      <c r="E120" s="31">
        <v>0</v>
      </c>
      <c r="F120" s="13">
        <v>1.39</v>
      </c>
      <c r="G120" s="13">
        <f>AVERAGE(C120:F120)</f>
        <v>0.70499999999999996</v>
      </c>
    </row>
    <row r="121" spans="2:9" x14ac:dyDescent="0.25">
      <c r="B121" s="14" t="s">
        <v>53</v>
      </c>
      <c r="C121" s="13">
        <v>1.43</v>
      </c>
      <c r="D121" s="13">
        <v>1.43</v>
      </c>
      <c r="E121" s="31">
        <v>0</v>
      </c>
      <c r="F121" s="13">
        <v>1.36</v>
      </c>
      <c r="G121" s="13">
        <f>AVERAGE(C121:F121)</f>
        <v>1.0549999999999999</v>
      </c>
    </row>
    <row r="122" spans="2:9" x14ac:dyDescent="0.25">
      <c r="B122" s="14" t="s">
        <v>54</v>
      </c>
      <c r="C122" s="13">
        <v>1.43</v>
      </c>
      <c r="D122" s="13">
        <v>1.43</v>
      </c>
      <c r="E122" s="31">
        <v>1.43</v>
      </c>
      <c r="F122" s="13">
        <v>1.43</v>
      </c>
      <c r="G122" s="13">
        <f>AVERAGE(C122:F122)</f>
        <v>1.43</v>
      </c>
    </row>
    <row r="123" spans="2:9" x14ac:dyDescent="0.25">
      <c r="B123" s="69"/>
      <c r="C123" s="69"/>
      <c r="D123" s="69"/>
      <c r="E123" s="69"/>
      <c r="F123" s="69"/>
      <c r="G123" s="69"/>
      <c r="H123" s="69"/>
    </row>
    <row r="124" spans="2:9" x14ac:dyDescent="0.25">
      <c r="B124" s="74" t="s">
        <v>58</v>
      </c>
      <c r="C124" s="75"/>
      <c r="D124" s="75"/>
      <c r="E124" s="75"/>
      <c r="F124" s="75"/>
      <c r="G124" s="76"/>
    </row>
    <row r="125" spans="2:9" x14ac:dyDescent="0.25">
      <c r="B125" s="2" t="s">
        <v>59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4" t="s">
        <v>60</v>
      </c>
      <c r="C126" s="75"/>
      <c r="D126" s="75"/>
      <c r="E126" s="75"/>
      <c r="F126" s="75"/>
      <c r="G126" s="76"/>
    </row>
    <row r="127" spans="2:9" x14ac:dyDescent="0.25">
      <c r="B127" s="3" t="s">
        <v>61</v>
      </c>
      <c r="C127" s="13">
        <v>1.54</v>
      </c>
      <c r="D127" s="42">
        <v>2.0096016029413999</v>
      </c>
      <c r="E127" s="34">
        <v>1.9775119999999999</v>
      </c>
      <c r="F127" s="4">
        <v>0</v>
      </c>
      <c r="G127" s="11">
        <f>AVERAGE(C127:E127)</f>
        <v>1.8423712009804667</v>
      </c>
    </row>
    <row r="128" spans="2:9" x14ac:dyDescent="0.25">
      <c r="B128" s="81"/>
      <c r="C128" s="81"/>
      <c r="D128" s="81"/>
      <c r="E128" s="81"/>
      <c r="F128" s="81"/>
      <c r="G128" s="81"/>
      <c r="H128" s="81"/>
    </row>
    <row r="129" spans="2:9" x14ac:dyDescent="0.25">
      <c r="B129" s="68" t="s">
        <v>62</v>
      </c>
      <c r="C129" s="68"/>
      <c r="D129" s="68"/>
      <c r="E129" s="68"/>
      <c r="F129" s="68"/>
      <c r="G129" s="68"/>
    </row>
    <row r="130" spans="2:9" x14ac:dyDescent="0.25">
      <c r="B130" s="14" t="s">
        <v>63</v>
      </c>
      <c r="C130" s="28">
        <v>262970</v>
      </c>
      <c r="D130" s="28">
        <v>3860</v>
      </c>
      <c r="E130" s="28">
        <v>8582</v>
      </c>
      <c r="F130" s="28">
        <v>821</v>
      </c>
      <c r="G130" s="28">
        <f>SUM(C130:F130)</f>
        <v>276233</v>
      </c>
    </row>
    <row r="131" spans="2:9" x14ac:dyDescent="0.25">
      <c r="B131" s="14" t="s">
        <v>64</v>
      </c>
      <c r="C131" s="28">
        <v>179761.35757299999</v>
      </c>
      <c r="D131" s="28">
        <v>3890.230986</v>
      </c>
      <c r="E131" s="28">
        <v>1172</v>
      </c>
      <c r="F131" s="28">
        <v>876.26698799999997</v>
      </c>
      <c r="G131" s="11">
        <f>SUM(C131:F131)</f>
        <v>185699.85554699998</v>
      </c>
    </row>
    <row r="132" spans="2:9" x14ac:dyDescent="0.25">
      <c r="B132" s="69"/>
      <c r="C132" s="69"/>
      <c r="D132" s="69"/>
      <c r="E132" s="69"/>
      <c r="F132" s="69"/>
      <c r="G132" s="69"/>
      <c r="H132" s="69"/>
    </row>
    <row r="133" spans="2:9" x14ac:dyDescent="0.25">
      <c r="B133" s="68" t="s">
        <v>65</v>
      </c>
      <c r="C133" s="68"/>
      <c r="D133" s="68"/>
      <c r="E133" s="68"/>
      <c r="F133" s="68"/>
      <c r="G133" s="68"/>
    </row>
    <row r="134" spans="2:9" x14ac:dyDescent="0.25">
      <c r="B134" s="14" t="s">
        <v>66</v>
      </c>
      <c r="C134" s="28">
        <v>492490</v>
      </c>
      <c r="D134" s="28">
        <v>372511</v>
      </c>
      <c r="E134" s="28">
        <f>94340+23911</f>
        <v>118251</v>
      </c>
      <c r="F134" s="28">
        <v>290470</v>
      </c>
      <c r="G134" s="28">
        <f>SUM(C134:F134)</f>
        <v>1273722</v>
      </c>
    </row>
    <row r="135" spans="2:9" x14ac:dyDescent="0.25">
      <c r="B135" s="69"/>
      <c r="C135" s="69"/>
      <c r="D135" s="69"/>
      <c r="E135" s="69"/>
      <c r="F135" s="69"/>
      <c r="G135" s="69"/>
      <c r="H135" s="69"/>
    </row>
    <row r="136" spans="2:9" ht="21" x14ac:dyDescent="0.35">
      <c r="B136" s="77" t="s">
        <v>67</v>
      </c>
      <c r="C136" s="77"/>
      <c r="D136" s="77"/>
      <c r="E136" s="77"/>
      <c r="F136" s="77"/>
      <c r="G136" s="77"/>
    </row>
    <row r="137" spans="2:9" x14ac:dyDescent="0.25">
      <c r="B137" s="68" t="s">
        <v>68</v>
      </c>
      <c r="C137" s="68"/>
      <c r="D137" s="68"/>
      <c r="E137" s="68"/>
      <c r="F137" s="68"/>
      <c r="G137" s="68"/>
    </row>
    <row r="138" spans="2:9" x14ac:dyDescent="0.25">
      <c r="B138" s="14" t="s">
        <v>69</v>
      </c>
      <c r="C138" s="28">
        <v>0</v>
      </c>
      <c r="D138" s="28">
        <v>2097</v>
      </c>
      <c r="E138" s="28">
        <v>0</v>
      </c>
      <c r="F138" s="28">
        <v>15644</v>
      </c>
      <c r="G138" s="28">
        <f>SUM(C138:F138)</f>
        <v>17741</v>
      </c>
      <c r="H138" s="7"/>
      <c r="I138" s="7"/>
    </row>
    <row r="139" spans="2:9" x14ac:dyDescent="0.25">
      <c r="B139" s="14" t="s">
        <v>70</v>
      </c>
      <c r="C139" s="28">
        <v>0</v>
      </c>
      <c r="D139" s="28">
        <v>2</v>
      </c>
      <c r="E139" s="28">
        <v>0</v>
      </c>
      <c r="F139" s="28">
        <v>146</v>
      </c>
      <c r="G139" s="28">
        <f>SUM(C139:F139)</f>
        <v>148</v>
      </c>
      <c r="H139" s="7"/>
      <c r="I139" s="7"/>
    </row>
    <row r="140" spans="2:9" x14ac:dyDescent="0.25">
      <c r="B140" s="69"/>
      <c r="C140" s="69"/>
      <c r="D140" s="69"/>
      <c r="E140" s="69"/>
      <c r="F140" s="69"/>
      <c r="G140" s="69"/>
      <c r="H140" s="69"/>
      <c r="I140" s="7"/>
    </row>
    <row r="141" spans="2:9" x14ac:dyDescent="0.25">
      <c r="B141" s="69"/>
      <c r="C141" s="69"/>
      <c r="D141" s="69"/>
      <c r="E141" s="69"/>
      <c r="F141" s="69"/>
      <c r="G141" s="69"/>
      <c r="H141" s="69"/>
    </row>
    <row r="142" spans="2:9" ht="21" x14ac:dyDescent="0.35">
      <c r="B142" s="78" t="s">
        <v>71</v>
      </c>
      <c r="C142" s="79"/>
      <c r="D142" s="79"/>
      <c r="E142" s="79"/>
      <c r="F142" s="79"/>
      <c r="G142" s="80"/>
    </row>
    <row r="143" spans="2:9" x14ac:dyDescent="0.25">
      <c r="B143" s="74" t="s">
        <v>72</v>
      </c>
      <c r="C143" s="75"/>
      <c r="D143" s="75"/>
      <c r="E143" s="75"/>
      <c r="F143" s="75"/>
      <c r="G143" s="76"/>
    </row>
    <row r="144" spans="2:9" x14ac:dyDescent="0.25">
      <c r="B144" s="69"/>
      <c r="C144" s="69"/>
      <c r="D144" s="69"/>
      <c r="E144" s="69"/>
      <c r="F144" s="69"/>
      <c r="G144" s="69"/>
      <c r="H144" s="69"/>
    </row>
    <row r="145" spans="2:8" x14ac:dyDescent="0.25">
      <c r="B145" s="73" t="s">
        <v>73</v>
      </c>
      <c r="C145" s="73"/>
      <c r="D145" s="73"/>
      <c r="E145" s="73"/>
      <c r="F145" s="73"/>
      <c r="G145" s="73"/>
    </row>
    <row r="146" spans="2:8" x14ac:dyDescent="0.25">
      <c r="B146" s="14" t="s">
        <v>74</v>
      </c>
      <c r="C146" s="28">
        <v>0</v>
      </c>
      <c r="D146" s="28">
        <v>789</v>
      </c>
      <c r="E146" s="28">
        <v>0</v>
      </c>
      <c r="F146" s="28">
        <v>772</v>
      </c>
      <c r="G146" s="28">
        <f>SUM(C146:F146)</f>
        <v>1561</v>
      </c>
    </row>
    <row r="147" spans="2:8" x14ac:dyDescent="0.25">
      <c r="B147" s="14" t="s">
        <v>75</v>
      </c>
      <c r="C147" s="28">
        <v>0</v>
      </c>
      <c r="D147" s="28">
        <v>17.245999999999999</v>
      </c>
      <c r="E147" s="28">
        <v>0</v>
      </c>
      <c r="F147" s="28">
        <v>10.8255</v>
      </c>
      <c r="G147" s="11">
        <f>SUM(C147:F147)</f>
        <v>28.0715</v>
      </c>
    </row>
    <row r="148" spans="2:8" x14ac:dyDescent="0.25">
      <c r="B148" s="69"/>
      <c r="C148" s="69"/>
      <c r="D148" s="69"/>
      <c r="E148" s="69"/>
      <c r="F148" s="69"/>
      <c r="G148" s="69"/>
      <c r="H148" s="69"/>
    </row>
    <row r="149" spans="2:8" x14ac:dyDescent="0.25">
      <c r="B149" s="73" t="s">
        <v>76</v>
      </c>
      <c r="C149" s="73"/>
      <c r="D149" s="73"/>
      <c r="E149" s="73"/>
      <c r="F149" s="73"/>
      <c r="G149" s="73"/>
    </row>
    <row r="150" spans="2:8" x14ac:dyDescent="0.25">
      <c r="B150" s="14" t="s">
        <v>77</v>
      </c>
      <c r="C150" s="28">
        <v>0</v>
      </c>
      <c r="D150" s="28">
        <v>1909</v>
      </c>
      <c r="E150" s="28">
        <v>6</v>
      </c>
      <c r="F150" s="28">
        <v>0</v>
      </c>
      <c r="G150" s="28">
        <f>SUM(C150:F150)</f>
        <v>1915</v>
      </c>
      <c r="H150"/>
    </row>
    <row r="151" spans="2:8" x14ac:dyDescent="0.25">
      <c r="B151" s="14" t="s">
        <v>78</v>
      </c>
      <c r="C151" s="28">
        <v>0</v>
      </c>
      <c r="D151" s="28">
        <v>101.36</v>
      </c>
      <c r="E151" s="28">
        <f>149000/1000000</f>
        <v>0.14899999999999999</v>
      </c>
      <c r="F151" s="28">
        <v>0</v>
      </c>
      <c r="G151" s="11">
        <f>SUM(C151:F151)</f>
        <v>101.509</v>
      </c>
      <c r="H151"/>
    </row>
    <row r="152" spans="2:8" x14ac:dyDescent="0.25">
      <c r="B152" s="69"/>
      <c r="C152" s="69"/>
      <c r="D152" s="69"/>
      <c r="E152" s="69"/>
      <c r="F152" s="69"/>
      <c r="G152" s="69"/>
      <c r="H152" s="69"/>
    </row>
    <row r="153" spans="2:8" x14ac:dyDescent="0.25">
      <c r="B153" s="73" t="s">
        <v>79</v>
      </c>
      <c r="C153" s="73"/>
      <c r="D153" s="73"/>
      <c r="E153" s="73"/>
      <c r="F153" s="73"/>
      <c r="G153" s="73"/>
    </row>
    <row r="154" spans="2:8" x14ac:dyDescent="0.25">
      <c r="B154" s="14" t="s">
        <v>80</v>
      </c>
      <c r="C154" s="28">
        <v>0</v>
      </c>
      <c r="D154" s="28">
        <v>379</v>
      </c>
      <c r="E154" s="28">
        <v>0</v>
      </c>
      <c r="F154" s="35">
        <v>170</v>
      </c>
      <c r="G154" s="28">
        <f>SUM(C154:F154)</f>
        <v>549</v>
      </c>
      <c r="H154"/>
    </row>
    <row r="155" spans="2:8" x14ac:dyDescent="0.25">
      <c r="B155" s="14" t="s">
        <v>81</v>
      </c>
      <c r="C155" s="28">
        <v>0</v>
      </c>
      <c r="D155" s="28">
        <v>14.388315</v>
      </c>
      <c r="E155" s="28">
        <v>0</v>
      </c>
      <c r="F155" s="30">
        <v>3.988</v>
      </c>
      <c r="G155" s="11">
        <f>SUM(C155:F155)</f>
        <v>18.376315000000002</v>
      </c>
      <c r="H155"/>
    </row>
    <row r="156" spans="2:8" x14ac:dyDescent="0.25">
      <c r="B156" s="69"/>
      <c r="C156" s="69"/>
      <c r="D156" s="69"/>
      <c r="E156" s="69"/>
      <c r="F156" s="69"/>
      <c r="G156" s="69"/>
      <c r="H156" s="69"/>
    </row>
    <row r="157" spans="2:8" x14ac:dyDescent="0.25">
      <c r="B157" s="70" t="s">
        <v>82</v>
      </c>
      <c r="C157" s="71"/>
      <c r="D157" s="71"/>
      <c r="E157" s="71"/>
      <c r="F157" s="71"/>
      <c r="G157" s="72"/>
    </row>
    <row r="158" spans="2:8" x14ac:dyDescent="0.25">
      <c r="B158" s="18" t="s">
        <v>83</v>
      </c>
      <c r="C158" s="19">
        <v>0</v>
      </c>
      <c r="D158" s="19">
        <f>D146+D150+D154</f>
        <v>3077</v>
      </c>
      <c r="E158" s="19">
        <v>6</v>
      </c>
      <c r="F158" s="19">
        <f>F146+F154</f>
        <v>942</v>
      </c>
      <c r="G158" s="19">
        <f>SUM(C158:F158)</f>
        <v>4025</v>
      </c>
    </row>
    <row r="159" spans="2:8" x14ac:dyDescent="0.25">
      <c r="B159" s="18" t="s">
        <v>84</v>
      </c>
      <c r="C159" s="19">
        <v>0</v>
      </c>
      <c r="D159" s="19">
        <f>D147+D151+D155</f>
        <v>132.994315</v>
      </c>
      <c r="E159" s="19">
        <v>0.14899999999999999</v>
      </c>
      <c r="F159" s="19">
        <f>F147+F155</f>
        <v>14.813499999999999</v>
      </c>
      <c r="G159" s="22">
        <f>SUM(C159:F159)</f>
        <v>147.95681500000001</v>
      </c>
    </row>
    <row r="160" spans="2:8" x14ac:dyDescent="0.25">
      <c r="B160" s="69"/>
      <c r="C160" s="69"/>
      <c r="D160" s="69"/>
      <c r="E160" s="69"/>
      <c r="F160" s="69"/>
      <c r="G160" s="69"/>
      <c r="H160" s="69"/>
    </row>
    <row r="161" spans="2:8" x14ac:dyDescent="0.25">
      <c r="B161" s="68" t="s">
        <v>85</v>
      </c>
      <c r="C161" s="68"/>
      <c r="D161" s="68"/>
      <c r="E161" s="68"/>
      <c r="F161" s="68"/>
      <c r="G161" s="68"/>
    </row>
    <row r="162" spans="2:8" x14ac:dyDescent="0.25">
      <c r="B162" s="14" t="s">
        <v>80</v>
      </c>
      <c r="C162" s="28">
        <v>2953</v>
      </c>
      <c r="D162" s="28">
        <v>37378</v>
      </c>
      <c r="E162" s="28">
        <v>3561</v>
      </c>
      <c r="F162" s="28">
        <v>19553</v>
      </c>
      <c r="G162" s="28">
        <f>SUM(C162:F162)</f>
        <v>63445</v>
      </c>
    </row>
    <row r="163" spans="2:8" x14ac:dyDescent="0.25">
      <c r="B163" s="14" t="s">
        <v>81</v>
      </c>
      <c r="C163" s="28">
        <f>73255409/1000000</f>
        <v>73.255409</v>
      </c>
      <c r="D163" s="28">
        <v>209.88807600000001</v>
      </c>
      <c r="E163" s="28">
        <v>56.673672000000003</v>
      </c>
      <c r="F163" s="28">
        <v>116.204043</v>
      </c>
      <c r="G163" s="11">
        <f>SUM(C163:F163)</f>
        <v>456.02120000000002</v>
      </c>
    </row>
    <row r="164" spans="2:8" x14ac:dyDescent="0.25">
      <c r="B164" s="69"/>
      <c r="C164" s="69"/>
      <c r="D164" s="69"/>
      <c r="E164" s="69"/>
      <c r="F164" s="69"/>
      <c r="G164" s="69"/>
    </row>
    <row r="165" spans="2:8" x14ac:dyDescent="0.25">
      <c r="B165" s="74" t="s">
        <v>86</v>
      </c>
      <c r="C165" s="75"/>
      <c r="D165" s="75"/>
      <c r="E165" s="75"/>
      <c r="F165" s="75"/>
      <c r="G165" s="76"/>
    </row>
    <row r="166" spans="2:8" x14ac:dyDescent="0.25">
      <c r="B166" s="70" t="s">
        <v>87</v>
      </c>
      <c r="C166" s="71"/>
      <c r="D166" s="71"/>
      <c r="E166" s="71"/>
      <c r="F166" s="71"/>
      <c r="G166" s="72"/>
    </row>
    <row r="167" spans="2:8" x14ac:dyDescent="0.25">
      <c r="B167" s="14" t="s">
        <v>88</v>
      </c>
      <c r="C167" s="28">
        <v>297</v>
      </c>
      <c r="D167" s="28">
        <v>2903</v>
      </c>
      <c r="E167" s="28">
        <v>500</v>
      </c>
      <c r="F167" s="28">
        <v>443</v>
      </c>
      <c r="G167" s="28">
        <f>SUM(C167:F167)</f>
        <v>4143</v>
      </c>
    </row>
    <row r="168" spans="2:8" x14ac:dyDescent="0.25">
      <c r="B168" s="14" t="s">
        <v>89</v>
      </c>
      <c r="C168" s="28">
        <f>7425000/1000000</f>
        <v>7.4249999999999998</v>
      </c>
      <c r="D168" s="28">
        <v>67.052877999999993</v>
      </c>
      <c r="E168" s="28">
        <f>8320000/1000000</f>
        <v>8.32</v>
      </c>
      <c r="F168" s="28">
        <v>16.344999999999999</v>
      </c>
      <c r="G168" s="11">
        <f>SUM(C168:F168)</f>
        <v>99.142877999999996</v>
      </c>
    </row>
    <row r="169" spans="2:8" x14ac:dyDescent="0.25">
      <c r="B169" s="69"/>
      <c r="C169" s="69"/>
      <c r="D169" s="69"/>
      <c r="E169" s="69"/>
      <c r="F169" s="69"/>
      <c r="G169" s="69"/>
    </row>
    <row r="170" spans="2:8" x14ac:dyDescent="0.25">
      <c r="B170" s="70" t="s">
        <v>90</v>
      </c>
      <c r="C170" s="71"/>
      <c r="D170" s="71"/>
      <c r="E170" s="71"/>
      <c r="F170" s="71"/>
      <c r="G170" s="72"/>
    </row>
    <row r="171" spans="2:8" x14ac:dyDescent="0.25">
      <c r="B171" s="14" t="s">
        <v>91</v>
      </c>
      <c r="C171" s="28">
        <v>1432</v>
      </c>
      <c r="D171" s="28">
        <v>504</v>
      </c>
      <c r="E171" s="28">
        <v>139</v>
      </c>
      <c r="F171" s="28">
        <v>321</v>
      </c>
      <c r="G171" s="28">
        <f>SUM(C171:F171)</f>
        <v>2396</v>
      </c>
    </row>
    <row r="172" spans="2:8" x14ac:dyDescent="0.25">
      <c r="B172" s="14" t="s">
        <v>89</v>
      </c>
      <c r="C172" s="28">
        <f>31504000/1000000</f>
        <v>31.504000000000001</v>
      </c>
      <c r="D172" s="28">
        <v>10.584</v>
      </c>
      <c r="E172" s="28">
        <f>3475000/1000000</f>
        <v>3.4750000000000001</v>
      </c>
      <c r="F172" s="28">
        <v>7.04</v>
      </c>
      <c r="G172" s="11">
        <f>SUM(C172:F172)</f>
        <v>52.603000000000002</v>
      </c>
    </row>
    <row r="173" spans="2:8" x14ac:dyDescent="0.25">
      <c r="B173" s="69"/>
      <c r="C173" s="69"/>
      <c r="D173" s="69"/>
      <c r="E173" s="69"/>
      <c r="F173" s="69"/>
      <c r="G173" s="69"/>
      <c r="H173" s="69"/>
    </row>
    <row r="174" spans="2:8" x14ac:dyDescent="0.25">
      <c r="B174" s="70" t="s">
        <v>92</v>
      </c>
      <c r="C174" s="71"/>
      <c r="D174" s="71"/>
      <c r="E174" s="71"/>
      <c r="F174" s="71"/>
      <c r="G174" s="72"/>
    </row>
    <row r="175" spans="2:8" x14ac:dyDescent="0.25">
      <c r="B175" s="14" t="s">
        <v>91</v>
      </c>
      <c r="C175" s="28">
        <v>303</v>
      </c>
      <c r="D175" s="28">
        <v>244</v>
      </c>
      <c r="E175" s="28">
        <v>229</v>
      </c>
      <c r="F175" s="28">
        <v>43</v>
      </c>
      <c r="G175" s="28">
        <f>SUM(C175:F175)</f>
        <v>819</v>
      </c>
    </row>
    <row r="176" spans="2:8" x14ac:dyDescent="0.25">
      <c r="B176" s="14" t="s">
        <v>89</v>
      </c>
      <c r="C176" s="28">
        <f>21210000/1000000</f>
        <v>21.21</v>
      </c>
      <c r="D176" s="28">
        <v>24.84</v>
      </c>
      <c r="E176" s="28">
        <f>12688830/1000000</f>
        <v>12.688829999999999</v>
      </c>
      <c r="F176" s="28">
        <v>4.43</v>
      </c>
      <c r="G176" s="11">
        <f>SUM(C176:F176)</f>
        <v>63.168829999999993</v>
      </c>
    </row>
    <row r="177" spans="2:8" x14ac:dyDescent="0.25">
      <c r="B177" s="69"/>
      <c r="C177" s="69"/>
      <c r="D177" s="69"/>
      <c r="E177" s="69"/>
      <c r="F177" s="69"/>
      <c r="G177" s="69"/>
      <c r="H177" s="69"/>
    </row>
    <row r="178" spans="2:8" x14ac:dyDescent="0.25">
      <c r="B178" s="70" t="s">
        <v>93</v>
      </c>
      <c r="C178" s="71"/>
      <c r="D178" s="71"/>
      <c r="E178" s="71"/>
      <c r="F178" s="71"/>
      <c r="G178" s="72"/>
    </row>
    <row r="179" spans="2:8" x14ac:dyDescent="0.25">
      <c r="B179" s="14" t="s">
        <v>91</v>
      </c>
      <c r="C179" s="28">
        <v>333</v>
      </c>
      <c r="D179" s="28">
        <v>181808</v>
      </c>
      <c r="E179" s="28">
        <v>0</v>
      </c>
      <c r="F179" s="28">
        <v>0</v>
      </c>
      <c r="G179" s="28">
        <f>SUM(C179:F179)</f>
        <v>182141</v>
      </c>
    </row>
    <row r="180" spans="2:8" x14ac:dyDescent="0.25">
      <c r="B180" s="14" t="s">
        <v>89</v>
      </c>
      <c r="C180" s="28">
        <f>10300000/1000000</f>
        <v>10.3</v>
      </c>
      <c r="D180" s="28">
        <v>2548.0370017048695</v>
      </c>
      <c r="E180" s="28">
        <v>0</v>
      </c>
      <c r="F180" s="28">
        <v>0</v>
      </c>
      <c r="G180" s="11">
        <f>SUM(C180:F180)</f>
        <v>2558.3370017048696</v>
      </c>
    </row>
    <row r="181" spans="2:8" x14ac:dyDescent="0.25">
      <c r="B181" s="69"/>
      <c r="C181" s="69"/>
      <c r="D181" s="69"/>
      <c r="E181" s="69"/>
      <c r="F181" s="69"/>
      <c r="G181" s="69"/>
      <c r="H181" s="69"/>
    </row>
    <row r="182" spans="2:8" x14ac:dyDescent="0.25">
      <c r="B182" s="68" t="s">
        <v>94</v>
      </c>
      <c r="C182" s="68"/>
      <c r="D182" s="68"/>
      <c r="E182" s="68"/>
      <c r="F182" s="68"/>
      <c r="G182" s="68"/>
    </row>
    <row r="183" spans="2:8" x14ac:dyDescent="0.25">
      <c r="B183" s="18" t="s">
        <v>95</v>
      </c>
      <c r="C183" s="19">
        <f>+C179+C175+C171+C167</f>
        <v>2365</v>
      </c>
      <c r="D183" s="19">
        <f>D167+D171+D175+D179</f>
        <v>185459</v>
      </c>
      <c r="E183" s="19">
        <f t="shared" ref="E183:E184" si="4">+E179+E175+E171+E167</f>
        <v>868</v>
      </c>
      <c r="F183" s="19">
        <f>+F179+F175+F171+F167</f>
        <v>807</v>
      </c>
      <c r="G183" s="19">
        <f>SUM(C183:F183)</f>
        <v>189499</v>
      </c>
    </row>
    <row r="184" spans="2:8" x14ac:dyDescent="0.25">
      <c r="B184" s="18" t="s">
        <v>96</v>
      </c>
      <c r="C184" s="19">
        <f>+C180+C176+C172+C168</f>
        <v>70.439000000000007</v>
      </c>
      <c r="D184" s="19">
        <f>D168+D172+D176+D180</f>
        <v>2650.5138797048694</v>
      </c>
      <c r="E184" s="19">
        <f t="shared" si="4"/>
        <v>24.483830000000001</v>
      </c>
      <c r="F184" s="19">
        <f>+F180+F176+F172+F168</f>
        <v>27.814999999999998</v>
      </c>
      <c r="G184" s="22">
        <f>SUM(C184:F184)</f>
        <v>2773.2517097048694</v>
      </c>
    </row>
    <row r="185" spans="2:8" x14ac:dyDescent="0.25">
      <c r="B185" s="69"/>
      <c r="C185" s="69"/>
      <c r="D185" s="69"/>
      <c r="E185" s="69"/>
      <c r="F185" s="69"/>
      <c r="G185" s="69"/>
      <c r="H185" s="69"/>
    </row>
    <row r="186" spans="2:8" x14ac:dyDescent="0.25">
      <c r="B186" s="68" t="s">
        <v>97</v>
      </c>
      <c r="C186" s="68"/>
      <c r="D186" s="68"/>
      <c r="E186" s="68"/>
      <c r="F186" s="68"/>
      <c r="G186" s="68"/>
    </row>
    <row r="187" spans="2:8" x14ac:dyDescent="0.25">
      <c r="B187" s="14" t="s">
        <v>98</v>
      </c>
      <c r="C187" s="28">
        <v>6716</v>
      </c>
      <c r="D187" s="28">
        <v>5243</v>
      </c>
      <c r="E187" s="28">
        <v>69</v>
      </c>
      <c r="F187" s="28">
        <v>21302</v>
      </c>
      <c r="G187" s="28">
        <f>SUM(C187:F187)</f>
        <v>33330</v>
      </c>
    </row>
    <row r="188" spans="2:8" x14ac:dyDescent="0.25">
      <c r="B188" s="14" t="s">
        <v>99</v>
      </c>
      <c r="C188" s="28">
        <f>51873499/1000000</f>
        <v>51.873499000000002</v>
      </c>
      <c r="D188" s="28">
        <v>87.969504000000001</v>
      </c>
      <c r="E188" s="28">
        <f>2760000/1000000</f>
        <v>2.76</v>
      </c>
      <c r="F188" s="28">
        <v>158.83254299999999</v>
      </c>
      <c r="G188" s="11">
        <f>SUM(C188:F188)</f>
        <v>301.43554599999999</v>
      </c>
    </row>
    <row r="189" spans="2:8" x14ac:dyDescent="0.25">
      <c r="B189" s="69"/>
      <c r="C189" s="69"/>
      <c r="D189" s="69"/>
      <c r="E189" s="69"/>
      <c r="F189" s="69"/>
      <c r="G189" s="69"/>
      <c r="H189" s="69"/>
    </row>
    <row r="190" spans="2:8" x14ac:dyDescent="0.25">
      <c r="B190" s="68" t="s">
        <v>100</v>
      </c>
      <c r="C190" s="68"/>
      <c r="D190" s="68"/>
      <c r="E190" s="68"/>
      <c r="F190" s="68"/>
      <c r="G190" s="68"/>
    </row>
    <row r="191" spans="2:8" x14ac:dyDescent="0.25">
      <c r="B191" s="18" t="s">
        <v>101</v>
      </c>
      <c r="C191" s="19">
        <f>C187+C162+C183</f>
        <v>12034</v>
      </c>
      <c r="D191" s="19">
        <f>+D187+D183+D162+D158</f>
        <v>231157</v>
      </c>
      <c r="E191" s="19">
        <f t="shared" ref="E191:E192" si="5">+E187+E183+E162+E158</f>
        <v>4504</v>
      </c>
      <c r="F191" s="19">
        <f>F158+F162+F183+F187</f>
        <v>42604</v>
      </c>
      <c r="G191" s="19">
        <f>SUM(C191:F191)</f>
        <v>290299</v>
      </c>
    </row>
    <row r="192" spans="2:8" x14ac:dyDescent="0.25">
      <c r="B192" s="18" t="s">
        <v>102</v>
      </c>
      <c r="C192" s="19">
        <f>C188+C163+C184</f>
        <v>195.56790799999999</v>
      </c>
      <c r="D192" s="19">
        <f>+D188+D184+D163+D159</f>
        <v>3081.3657747048696</v>
      </c>
      <c r="E192" s="19">
        <f t="shared" si="5"/>
        <v>84.066502000000014</v>
      </c>
      <c r="F192" s="19">
        <f>F159+F184+F163+F188</f>
        <v>317.66508599999997</v>
      </c>
      <c r="G192" s="22">
        <f>SUM(C192:F192)</f>
        <v>3678.6652707048697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G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Ene-22</vt:lpstr>
      <vt:lpstr>Feb-22</vt:lpstr>
      <vt:lpstr>Mar-22</vt:lpstr>
      <vt:lpstr>Abr-22</vt:lpstr>
      <vt:lpstr>May-22</vt:lpstr>
      <vt:lpstr>Jun-22</vt:lpstr>
      <vt:lpstr>Jul-22</vt:lpstr>
      <vt:lpstr>Ago-22</vt:lpstr>
      <vt:lpstr>Sep-22</vt:lpstr>
      <vt:lpstr>Oct-22</vt:lpstr>
      <vt:lpstr>Nov-22</vt:lpstr>
      <vt:lpstr>Dic-22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R</dc:creator>
  <cp:keywords/>
  <dc:description/>
  <cp:lastModifiedBy>Manuel Quezada Carcamo</cp:lastModifiedBy>
  <cp:revision/>
  <dcterms:created xsi:type="dcterms:W3CDTF">2020-04-29T19:55:58Z</dcterms:created>
  <dcterms:modified xsi:type="dcterms:W3CDTF">2023-02-20T17:26:30Z</dcterms:modified>
  <cp:category/>
  <cp:contentStatus/>
</cp:coreProperties>
</file>